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definedNames>
    <definedName name="ACwvu.fit_graph." localSheetId="2" hidden="1">'OUTPUT'!$B$16:$I$49</definedName>
    <definedName name="ACwvu.sheet1." localSheetId="2" hidden="1">'OUTPUT'!#REF!</definedName>
    <definedName name="_xlnm.Print_Area" localSheetId="2">'OUTPUT'!$A$1:$I$104</definedName>
    <definedName name="Swvu.fit_graph." localSheetId="2" hidden="1">'OUTPUT'!$B$16:$I$49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sharedStrings.xml><?xml version="1.0" encoding="utf-8"?>
<sst xmlns="http://schemas.openxmlformats.org/spreadsheetml/2006/main" count="245" uniqueCount="175">
  <si>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</si>
  <si>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</si>
  <si>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</si>
  <si>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</si>
  <si>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</si>
  <si>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</si>
  <si>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</si>
  <si>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</si>
  <si>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Depths to:</t>
  </si>
  <si>
    <t>Annular Fill:</t>
  </si>
  <si>
    <t>across  screen --</t>
  </si>
  <si>
    <t>above screen --</t>
  </si>
  <si>
    <t>COMPUTED</t>
  </si>
  <si>
    <t>slope points</t>
  </si>
  <si>
    <t>Rc =</t>
  </si>
  <si>
    <t>ft</t>
  </si>
  <si>
    <t>Rw =</t>
  </si>
  <si>
    <t xml:space="preserve">K = </t>
  </si>
  <si>
    <t>Slope =</t>
  </si>
  <si>
    <t>Casing diameter is greater than the Annulus</t>
  </si>
  <si>
    <t>ft/d</t>
  </si>
  <si>
    <t>Slope will produce a negative K</t>
  </si>
  <si>
    <t xml:space="preserve">Input is consistent.  </t>
  </si>
  <si>
    <t>Error</t>
  </si>
  <si>
    <t>REMARKS:</t>
  </si>
  <si>
    <t>Overwrite with your data here.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</si>
  <si>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</si>
  <si>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</si>
  <si>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</si>
  <si>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</si>
  <si>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</si>
  <si>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</si>
  <si>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</si>
  <si>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</si>
  <si>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</si>
  <si>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</si>
  <si>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</si>
  <si>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</si>
  <si>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</si>
  <si>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</si>
  <si>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</si>
  <si>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</si>
  <si>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</si>
  <si>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</si>
  <si>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</si>
  <si>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</si>
  <si>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</si>
  <si>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</si>
  <si>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</si>
  <si>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</si>
  <si>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</si>
  <si>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</si>
  <si>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</si>
  <si>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</si>
  <si>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</si>
  <si>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</si>
  <si>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</si>
  <si>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</si>
  <si>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Number of points =</t>
  </si>
  <si>
    <t>Hour</t>
  </si>
  <si>
    <t>Minute</t>
  </si>
  <si>
    <t>Second</t>
  </si>
  <si>
    <t>Day</t>
  </si>
  <si>
    <t/>
  </si>
  <si>
    <t>cm</t>
  </si>
  <si>
    <t>mm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</si>
  <si>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</si>
  <si>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</si>
  <si>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</si>
  <si>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</si>
  <si>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</si>
  <si>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</si>
  <si>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</si>
  <si>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</si>
  <si>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>PSI</t>
  </si>
  <si>
    <t>T  =</t>
  </si>
  <si>
    <t>K  =</t>
  </si>
  <si>
    <t>FLOW RATE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</si>
  <si>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</si>
  <si>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feet/log</t>
    </r>
    <r>
      <rPr>
        <vertAlign val="subscript"/>
        <sz val="10"/>
        <rFont val="Arial"/>
        <family val="2"/>
      </rPr>
      <t>10</t>
    </r>
  </si>
  <si>
    <t>Drawdown</t>
  </si>
  <si>
    <t xml:space="preserve">Aquifer thickness = </t>
  </si>
  <si>
    <t>GPM</t>
  </si>
  <si>
    <t>ft3/d</t>
  </si>
  <si>
    <t>ft3/s</t>
  </si>
  <si>
    <t>m3/d</t>
  </si>
  <si>
    <t>m3/s</t>
  </si>
  <si>
    <t>liters/s</t>
  </si>
  <si>
    <t>liters/min</t>
  </si>
  <si>
    <t>cc/s</t>
  </si>
  <si>
    <t>wetted hole</t>
  </si>
  <si>
    <t>T =</t>
  </si>
  <si>
    <t>ft2/d</t>
  </si>
  <si>
    <t xml:space="preserve">Base of Aquifer </t>
  </si>
  <si>
    <t xml:space="preserve">Top of Aquifer </t>
  </si>
  <si>
    <t>feet</t>
  </si>
  <si>
    <t>Likely</t>
  </si>
  <si>
    <t>Absolute Shut Down</t>
  </si>
  <si>
    <t>WARNING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</si>
  <si>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</si>
  <si>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</si>
  <si>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</si>
  <si>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</si>
  <si>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</si>
  <si>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</si>
  <si>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</si>
  <si>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</si>
  <si>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</si>
  <si>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</si>
  <si>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</si>
  <si>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</si>
  <si>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</si>
  <si>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</si>
  <si>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</si>
  <si>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</si>
  <si>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</si>
  <si>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</si>
  <si>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</si>
  <si>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</si>
  <si>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</si>
  <si>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</si>
  <si>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</si>
  <si>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</si>
  <si>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</si>
  <si>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</si>
  <si>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</si>
  <si>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</si>
  <si>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Drawdown-Distance analysis of multi-well aquifer test</t>
  </si>
  <si>
    <t>Aquifer is:</t>
  </si>
  <si>
    <t>SITE</t>
  </si>
  <si>
    <t>AT5A</t>
  </si>
  <si>
    <t>Radial Distance</t>
  </si>
  <si>
    <t>141S</t>
  </si>
  <si>
    <t>MS40S</t>
  </si>
  <si>
    <t>MS41S</t>
  </si>
  <si>
    <t>MS40I</t>
  </si>
  <si>
    <t>XY</t>
  </si>
  <si>
    <t>Distance</t>
  </si>
  <si>
    <t>Dist Correction =</t>
  </si>
  <si>
    <t>Drawdown Correction =</t>
  </si>
  <si>
    <t>b =</t>
  </si>
  <si>
    <t>UNCONFINED</t>
  </si>
  <si>
    <t>R</t>
  </si>
  <si>
    <t>h/s</t>
  </si>
  <si>
    <t>CONFINED</t>
  </si>
  <si>
    <t>Slope</t>
  </si>
  <si>
    <t>Initial Depth to Water</t>
  </si>
  <si>
    <t>PUMPING WELL ID:</t>
  </si>
  <si>
    <t>XY coordinates</t>
  </si>
  <si>
    <t>Rmid</t>
  </si>
  <si>
    <t>H2</t>
  </si>
  <si>
    <t>MEASURED</t>
  </si>
  <si>
    <t>Intercept</t>
  </si>
  <si>
    <t>log®</t>
  </si>
  <si>
    <t>X2</t>
  </si>
  <si>
    <t>y2</t>
  </si>
  <si>
    <t>Present</t>
  </si>
  <si>
    <t>Y</t>
  </si>
  <si>
    <t>slope =</t>
  </si>
  <si>
    <t>sdx =</t>
  </si>
  <si>
    <t>sdy =</t>
  </si>
  <si>
    <t>sdxy =</t>
  </si>
  <si>
    <t>intercept =</t>
  </si>
  <si>
    <t>Gross X</t>
  </si>
  <si>
    <t>Gross Y</t>
  </si>
  <si>
    <t>h, unconfined</t>
  </si>
  <si>
    <t>ELK Example 5</t>
  </si>
  <si>
    <t>Slope Sign</t>
  </si>
  <si>
    <t>Limits</t>
  </si>
  <si>
    <t>Ymax</t>
  </si>
  <si>
    <t>Ymin</t>
  </si>
  <si>
    <t>4,5,8</t>
  </si>
  <si>
    <t>Extreme</t>
  </si>
  <si>
    <t>6,7,10</t>
  </si>
  <si>
    <t>10 Neuzil, 1994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</si>
</sst>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m/d/yy\ h:mm:ss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.75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 quotePrefix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7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2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NumberFormat="1" applyAlignment="1" applyProtection="1">
      <alignment horizontal="left"/>
      <protection/>
    </xf>
    <xf numFmtId="0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3" borderId="20" xfId="0" applyFill="1" applyBorder="1" applyAlignment="1" applyProtection="1">
      <alignment horizontal="center" vertical="center"/>
      <protection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4" fontId="0" fillId="0" borderId="20" xfId="0" applyNumberForma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0" fontId="0" fillId="0" borderId="0" xfId="0" applyNumberFormat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20" xfId="0" applyNumberForma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18" fillId="0" borderId="0" xfId="0" applyFont="1" applyAlignment="1" applyProtection="1">
      <alignment horizontal="left" vertical="center" textRotation="90"/>
      <protection/>
    </xf>
    <xf numFmtId="0" fontId="0" fillId="0" borderId="0" xfId="0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DATA!$J$7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DATA!$I$8:$I$1000</c:f>
              <c:numCache>
                <c:ptCount val="993"/>
                <c:pt idx="0">
                  <c:v>0.25</c:v>
                </c:pt>
                <c:pt idx="1">
                  <c:v>34.6</c:v>
                </c:pt>
                <c:pt idx="2">
                  <c:v>250</c:v>
                </c:pt>
                <c:pt idx="3">
                  <c:v>253</c:v>
                </c:pt>
                <c:pt idx="4">
                  <c:v>254</c:v>
                </c:pt>
                <c:pt idx="5">
                  <c:v>254</c:v>
                </c:pt>
                <c:pt idx="6">
                  <c:v>254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254</c:v>
                </c:pt>
                <c:pt idx="11">
                  <c:v>254</c:v>
                </c:pt>
                <c:pt idx="12">
                  <c:v>254</c:v>
                </c:pt>
                <c:pt idx="13">
                  <c:v>254</c:v>
                </c:pt>
                <c:pt idx="14">
                  <c:v>254</c:v>
                </c:pt>
                <c:pt idx="15">
                  <c:v>254</c:v>
                </c:pt>
                <c:pt idx="16">
                  <c:v>254</c:v>
                </c:pt>
                <c:pt idx="17">
                  <c:v>254</c:v>
                </c:pt>
                <c:pt idx="18">
                  <c:v>254</c:v>
                </c:pt>
                <c:pt idx="19">
                  <c:v>254</c:v>
                </c:pt>
              </c:numCache>
            </c:numRef>
          </c:xVal>
          <c:yVal>
            <c:numRef>
              <c:f>DATA!$J$8:$J$1000</c:f>
              <c:numCache>
                <c:ptCount val="993"/>
                <c:pt idx="0">
                  <c:v>1216.6144000000002</c:v>
                </c:pt>
                <c:pt idx="1">
                  <c:v>1406.25</c:v>
                </c:pt>
                <c:pt idx="2">
                  <c:v>1513.2099999999998</c:v>
                </c:pt>
                <c:pt idx="3">
                  <c:v>1503.8884</c:v>
                </c:pt>
                <c:pt idx="4">
                  <c:v>1515.5448999999999</c:v>
                </c:pt>
                <c:pt idx="5">
                  <c:v>1515.5448999999999</c:v>
                </c:pt>
                <c:pt idx="6">
                  <c:v>1515.5448999999999</c:v>
                </c:pt>
                <c:pt idx="7">
                  <c:v>1515.5448999999999</c:v>
                </c:pt>
                <c:pt idx="8">
                  <c:v>1515.5448999999999</c:v>
                </c:pt>
                <c:pt idx="9">
                  <c:v>1515.5448999999999</c:v>
                </c:pt>
                <c:pt idx="10">
                  <c:v>1515.5448999999999</c:v>
                </c:pt>
                <c:pt idx="11">
                  <c:v>1515.5448999999999</c:v>
                </c:pt>
                <c:pt idx="12">
                  <c:v>1515.5448999999999</c:v>
                </c:pt>
                <c:pt idx="13">
                  <c:v>1515.5448999999999</c:v>
                </c:pt>
                <c:pt idx="14">
                  <c:v>1515.5448999999999</c:v>
                </c:pt>
                <c:pt idx="15">
                  <c:v>1515.5448999999999</c:v>
                </c:pt>
                <c:pt idx="16">
                  <c:v>1515.5448999999999</c:v>
                </c:pt>
                <c:pt idx="17">
                  <c:v>1515.5448999999999</c:v>
                </c:pt>
                <c:pt idx="18">
                  <c:v>1515.5448999999999</c:v>
                </c:pt>
                <c:pt idx="19">
                  <c:v>1515.5448999999999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COMPUTATION!$B$35:$B$36</c:f>
              <c:numCache>
                <c:ptCount val="2"/>
                <c:pt idx="0">
                  <c:v>0.2</c:v>
                </c:pt>
                <c:pt idx="1">
                  <c:v>500</c:v>
                </c:pt>
              </c:numCache>
            </c:numRef>
          </c:xVal>
          <c:yVal>
            <c:numRef>
              <c:f>COMPUTATION!$C$35:$C$36</c:f>
              <c:numCache>
                <c:ptCount val="2"/>
                <c:pt idx="0">
                  <c:v>1202.4847382571572</c:v>
                </c:pt>
                <c:pt idx="1">
                  <c:v>1536.2371752486047</c:v>
                </c:pt>
              </c:numCache>
            </c:numRef>
          </c:yVal>
          <c:smooth val="0"/>
        </c:ser>
        <c:axId val="14079591"/>
        <c:axId val="21177184"/>
      </c:scatterChart>
      <c:valAx>
        <c:axId val="1407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1177184"/>
        <c:crossesAt val="1E-07"/>
        <c:crossBetween val="midCat"/>
        <c:dispUnits/>
      </c:valAx>
      <c:valAx>
        <c:axId val="21177184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407959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T</a:t>
            </a:r>
          </a:p>
        </c:rich>
      </c:tx>
      <c:layout>
        <c:manualLayout>
          <c:xMode val="factor"/>
          <c:yMode val="factor"/>
          <c:x val="0.1577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DATA!$J$7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DATA!$I$8:$I$1000</c:f>
              <c:numCache>
                <c:ptCount val="993"/>
                <c:pt idx="0">
                  <c:v>0.25</c:v>
                </c:pt>
                <c:pt idx="1">
                  <c:v>34.6</c:v>
                </c:pt>
                <c:pt idx="2">
                  <c:v>250</c:v>
                </c:pt>
                <c:pt idx="3">
                  <c:v>253</c:v>
                </c:pt>
                <c:pt idx="4">
                  <c:v>254</c:v>
                </c:pt>
                <c:pt idx="5">
                  <c:v>254</c:v>
                </c:pt>
                <c:pt idx="6">
                  <c:v>254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254</c:v>
                </c:pt>
                <c:pt idx="11">
                  <c:v>254</c:v>
                </c:pt>
                <c:pt idx="12">
                  <c:v>254</c:v>
                </c:pt>
                <c:pt idx="13">
                  <c:v>254</c:v>
                </c:pt>
                <c:pt idx="14">
                  <c:v>254</c:v>
                </c:pt>
                <c:pt idx="15">
                  <c:v>254</c:v>
                </c:pt>
                <c:pt idx="16">
                  <c:v>254</c:v>
                </c:pt>
                <c:pt idx="17">
                  <c:v>254</c:v>
                </c:pt>
                <c:pt idx="18">
                  <c:v>254</c:v>
                </c:pt>
                <c:pt idx="19">
                  <c:v>254</c:v>
                </c:pt>
              </c:numCache>
            </c:numRef>
          </c:xVal>
          <c:yVal>
            <c:numRef>
              <c:f>DATA!$J$8:$J$1000</c:f>
              <c:numCache>
                <c:ptCount val="993"/>
                <c:pt idx="0">
                  <c:v>1216.6144000000002</c:v>
                </c:pt>
                <c:pt idx="1">
                  <c:v>1406.25</c:v>
                </c:pt>
                <c:pt idx="2">
                  <c:v>1513.2099999999998</c:v>
                </c:pt>
                <c:pt idx="3">
                  <c:v>1503.8884</c:v>
                </c:pt>
                <c:pt idx="4">
                  <c:v>1515.5448999999999</c:v>
                </c:pt>
                <c:pt idx="5">
                  <c:v>1515.5448999999999</c:v>
                </c:pt>
                <c:pt idx="6">
                  <c:v>1515.5448999999999</c:v>
                </c:pt>
                <c:pt idx="7">
                  <c:v>1515.5448999999999</c:v>
                </c:pt>
                <c:pt idx="8">
                  <c:v>1515.5448999999999</c:v>
                </c:pt>
                <c:pt idx="9">
                  <c:v>1515.5448999999999</c:v>
                </c:pt>
                <c:pt idx="10">
                  <c:v>1515.5448999999999</c:v>
                </c:pt>
                <c:pt idx="11">
                  <c:v>1515.5448999999999</c:v>
                </c:pt>
                <c:pt idx="12">
                  <c:v>1515.5448999999999</c:v>
                </c:pt>
                <c:pt idx="13">
                  <c:v>1515.5448999999999</c:v>
                </c:pt>
                <c:pt idx="14">
                  <c:v>1515.5448999999999</c:v>
                </c:pt>
                <c:pt idx="15">
                  <c:v>1515.5448999999999</c:v>
                </c:pt>
                <c:pt idx="16">
                  <c:v>1515.5448999999999</c:v>
                </c:pt>
                <c:pt idx="17">
                  <c:v>1515.5448999999999</c:v>
                </c:pt>
                <c:pt idx="18">
                  <c:v>1515.5448999999999</c:v>
                </c:pt>
                <c:pt idx="19">
                  <c:v>1515.5448999999999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COMPUTATION!$B$35:$B$36</c:f>
              <c:numCache>
                <c:ptCount val="2"/>
                <c:pt idx="0">
                  <c:v>0.2</c:v>
                </c:pt>
                <c:pt idx="1">
                  <c:v>500</c:v>
                </c:pt>
              </c:numCache>
            </c:numRef>
          </c:xVal>
          <c:yVal>
            <c:numRef>
              <c:f>COMPUTATION!$C$35:$C$36</c:f>
              <c:numCache>
                <c:ptCount val="2"/>
                <c:pt idx="0">
                  <c:v>1202.4847382571572</c:v>
                </c:pt>
                <c:pt idx="1">
                  <c:v>1536.2371752486047</c:v>
                </c:pt>
              </c:numCache>
            </c:numRef>
          </c:yVal>
          <c:smooth val="0"/>
        </c:ser>
        <c:axId val="2430561"/>
        <c:axId val="43213226"/>
      </c:scatterChart>
      <c:valAx>
        <c:axId val="2430561"/>
        <c:scaling>
          <c:logBase val="10"/>
          <c:orientation val="minMax"/>
        </c:scaling>
        <c:axPos val="b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13226"/>
        <c:crosses val="autoZero"/>
        <c:crossBetween val="midCat"/>
        <c:dispUnits/>
      </c:valAx>
      <c:valAx>
        <c:axId val="43213226"/>
        <c:scaling>
          <c:orientation val="minMax"/>
          <c:max val="1600"/>
          <c:min val="1100"/>
        </c:scaling>
        <c:axPos val="l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0561"/>
        <c:crossesAt val="1E-99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82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COMPUTATION!$T$6</c:f>
              <c:strCache>
                <c:ptCount val="1"/>
                <c:pt idx="0">
                  <c:v>h, unconfined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COMPUTATION!$S$7:$S$206</c:f>
              <c:numCache>
                <c:ptCount val="200"/>
                <c:pt idx="0">
                  <c:v>0.10232929922807538</c:v>
                </c:pt>
                <c:pt idx="1">
                  <c:v>0.10715193052376061</c:v>
                </c:pt>
                <c:pt idx="2">
                  <c:v>0.11220184543019632</c:v>
                </c:pt>
                <c:pt idx="3">
                  <c:v>0.11748975549395294</c:v>
                </c:pt>
                <c:pt idx="4">
                  <c:v>0.12302687708123815</c:v>
                </c:pt>
                <c:pt idx="5">
                  <c:v>0.1288249551693134</c:v>
                </c:pt>
                <c:pt idx="6">
                  <c:v>0.13489628825916536</c:v>
                </c:pt>
                <c:pt idx="7">
                  <c:v>0.14125375446227545</c:v>
                </c:pt>
                <c:pt idx="8">
                  <c:v>0.14791083881682077</c:v>
                </c:pt>
                <c:pt idx="9">
                  <c:v>0.15488166189124816</c:v>
                </c:pt>
                <c:pt idx="10">
                  <c:v>0.16218100973589303</c:v>
                </c:pt>
                <c:pt idx="11">
                  <c:v>0.16982436524617447</c:v>
                </c:pt>
                <c:pt idx="12">
                  <c:v>0.17782794100389232</c:v>
                </c:pt>
                <c:pt idx="13">
                  <c:v>0.1862087136662868</c:v>
                </c:pt>
                <c:pt idx="14">
                  <c:v>0.1949844599758046</c:v>
                </c:pt>
                <c:pt idx="15">
                  <c:v>0.20417379446695302</c:v>
                </c:pt>
                <c:pt idx="16">
                  <c:v>0.21379620895022333</c:v>
                </c:pt>
                <c:pt idx="17">
                  <c:v>0.22387211385683412</c:v>
                </c:pt>
                <c:pt idx="18">
                  <c:v>0.2344228815319924</c:v>
                </c:pt>
                <c:pt idx="19">
                  <c:v>0.24547089156850324</c:v>
                </c:pt>
                <c:pt idx="20">
                  <c:v>0.2570395782768866</c:v>
                </c:pt>
                <c:pt idx="21">
                  <c:v>0.2691534803926918</c:v>
                </c:pt>
                <c:pt idx="22">
                  <c:v>0.28183829312644565</c:v>
                </c:pt>
                <c:pt idx="23">
                  <c:v>0.29512092266663886</c:v>
                </c:pt>
                <c:pt idx="24">
                  <c:v>0.3090295432513594</c:v>
                </c:pt>
                <c:pt idx="25">
                  <c:v>0.32359365692962866</c:v>
                </c:pt>
                <c:pt idx="26">
                  <c:v>0.338844156139203</c:v>
                </c:pt>
                <c:pt idx="27">
                  <c:v>0.35481338923357597</c:v>
                </c:pt>
                <c:pt idx="28">
                  <c:v>0.3715352290971731</c:v>
                </c:pt>
                <c:pt idx="29">
                  <c:v>0.3890451449942812</c:v>
                </c:pt>
                <c:pt idx="30">
                  <c:v>0.4073802778041134</c:v>
                </c:pt>
                <c:pt idx="31">
                  <c:v>0.4265795188015934</c:v>
                </c:pt>
                <c:pt idx="32">
                  <c:v>0.4466835921509639</c:v>
                </c:pt>
                <c:pt idx="33">
                  <c:v>0.46773514128719906</c:v>
                </c:pt>
                <c:pt idx="34">
                  <c:v>0.48977881936844714</c:v>
                </c:pt>
                <c:pt idx="35">
                  <c:v>0.5128613839913658</c:v>
                </c:pt>
                <c:pt idx="36">
                  <c:v>0.5370317963702538</c:v>
                </c:pt>
                <c:pt idx="37">
                  <c:v>0.5623413251903502</c:v>
                </c:pt>
                <c:pt idx="38">
                  <c:v>0.5888436553555901</c:v>
                </c:pt>
                <c:pt idx="39">
                  <c:v>0.6165950018614834</c:v>
                </c:pt>
                <c:pt idx="40">
                  <c:v>0.6456542290346569</c:v>
                </c:pt>
                <c:pt idx="41">
                  <c:v>0.6760829753919833</c:v>
                </c:pt>
                <c:pt idx="42">
                  <c:v>0.7079457843841395</c:v>
                </c:pt>
                <c:pt idx="43">
                  <c:v>0.7413102413009192</c:v>
                </c:pt>
                <c:pt idx="44">
                  <c:v>0.7762471166286935</c:v>
                </c:pt>
                <c:pt idx="45">
                  <c:v>0.8128305161641012</c:v>
                </c:pt>
                <c:pt idx="46">
                  <c:v>0.8511380382023785</c:v>
                </c:pt>
                <c:pt idx="47">
                  <c:v>0.8912509381337478</c:v>
                </c:pt>
                <c:pt idx="48">
                  <c:v>0.9332543007969935</c:v>
                </c:pt>
                <c:pt idx="49">
                  <c:v>0.9772372209558132</c:v>
                </c:pt>
                <c:pt idx="50">
                  <c:v>1.0232929922807568</c:v>
                </c:pt>
                <c:pt idx="51">
                  <c:v>1.0715193052376093</c:v>
                </c:pt>
                <c:pt idx="52">
                  <c:v>1.1220184543019665</c:v>
                </c:pt>
                <c:pt idx="53">
                  <c:v>1.1748975549395329</c:v>
                </c:pt>
                <c:pt idx="54">
                  <c:v>1.2302687708123852</c:v>
                </c:pt>
                <c:pt idx="55">
                  <c:v>1.2882495516931378</c:v>
                </c:pt>
                <c:pt idx="56">
                  <c:v>1.3489628825916578</c:v>
                </c:pt>
                <c:pt idx="57">
                  <c:v>1.4125375446227588</c:v>
                </c:pt>
                <c:pt idx="58">
                  <c:v>1.4791083881682123</c:v>
                </c:pt>
                <c:pt idx="59">
                  <c:v>1.5488166189124866</c:v>
                </c:pt>
                <c:pt idx="60">
                  <c:v>1.6218100973589356</c:v>
                </c:pt>
                <c:pt idx="61">
                  <c:v>1.6982436524617504</c:v>
                </c:pt>
                <c:pt idx="62">
                  <c:v>1.7782794100389292</c:v>
                </c:pt>
                <c:pt idx="63">
                  <c:v>1.8620871366628742</c:v>
                </c:pt>
                <c:pt idx="64">
                  <c:v>1.9498445997580525</c:v>
                </c:pt>
                <c:pt idx="65">
                  <c:v>2.041737944669537</c:v>
                </c:pt>
                <c:pt idx="66">
                  <c:v>2.1379620895022406</c:v>
                </c:pt>
                <c:pt idx="67">
                  <c:v>2.2387211385683488</c:v>
                </c:pt>
                <c:pt idx="68">
                  <c:v>2.3442288153199318</c:v>
                </c:pt>
                <c:pt idx="69">
                  <c:v>2.454708915685041</c:v>
                </c:pt>
                <c:pt idx="70">
                  <c:v>2.570395782768875</c:v>
                </c:pt>
                <c:pt idx="71">
                  <c:v>2.6915348039269276</c:v>
                </c:pt>
                <c:pt idx="72">
                  <c:v>2.8183829312644666</c:v>
                </c:pt>
                <c:pt idx="73">
                  <c:v>2.9512092266663994</c:v>
                </c:pt>
                <c:pt idx="74">
                  <c:v>3.090295432513605</c:v>
                </c:pt>
                <c:pt idx="75">
                  <c:v>3.2359365692962982</c:v>
                </c:pt>
                <c:pt idx="76">
                  <c:v>3.388441561392042</c:v>
                </c:pt>
                <c:pt idx="77">
                  <c:v>3.5481338923357724</c:v>
                </c:pt>
                <c:pt idx="78">
                  <c:v>3.7153522909717442</c:v>
                </c:pt>
                <c:pt idx="79">
                  <c:v>3.890451449942826</c:v>
                </c:pt>
                <c:pt idx="80">
                  <c:v>4.0738027780411485</c:v>
                </c:pt>
                <c:pt idx="81">
                  <c:v>4.265795188015949</c:v>
                </c:pt>
                <c:pt idx="82">
                  <c:v>4.466835921509655</c:v>
                </c:pt>
                <c:pt idx="83">
                  <c:v>4.6773514128720075</c:v>
                </c:pt>
                <c:pt idx="84">
                  <c:v>4.897788193684489</c:v>
                </c:pt>
                <c:pt idx="85">
                  <c:v>5.128613839913678</c:v>
                </c:pt>
                <c:pt idx="86">
                  <c:v>5.370317963702559</c:v>
                </c:pt>
                <c:pt idx="87">
                  <c:v>5.623413251903524</c:v>
                </c:pt>
                <c:pt idx="88">
                  <c:v>5.888436553555925</c:v>
                </c:pt>
                <c:pt idx="89">
                  <c:v>6.1659500186148595</c:v>
                </c:pt>
                <c:pt idx="90">
                  <c:v>6.456542290346595</c:v>
                </c:pt>
                <c:pt idx="91">
                  <c:v>6.76082975391986</c:v>
                </c:pt>
                <c:pt idx="92">
                  <c:v>7.079457843841424</c:v>
                </c:pt>
                <c:pt idx="93">
                  <c:v>7.413102413009223</c:v>
                </c:pt>
                <c:pt idx="94">
                  <c:v>7.762471166286968</c:v>
                </c:pt>
                <c:pt idx="95">
                  <c:v>8.128305161641046</c:v>
                </c:pt>
                <c:pt idx="96">
                  <c:v>8.511380382023821</c:v>
                </c:pt>
                <c:pt idx="97">
                  <c:v>8.912509381337516</c:v>
                </c:pt>
                <c:pt idx="98">
                  <c:v>9.332543007969974</c:v>
                </c:pt>
                <c:pt idx="99">
                  <c:v>9.772372209558174</c:v>
                </c:pt>
                <c:pt idx="100">
                  <c:v>10.232929922807612</c:v>
                </c:pt>
                <c:pt idx="101">
                  <c:v>10.715193052376138</c:v>
                </c:pt>
                <c:pt idx="102">
                  <c:v>11.220184543019712</c:v>
                </c:pt>
                <c:pt idx="103">
                  <c:v>11.748975549395379</c:v>
                </c:pt>
                <c:pt idx="104">
                  <c:v>12.302687708123903</c:v>
                </c:pt>
                <c:pt idx="105">
                  <c:v>12.882495516931433</c:v>
                </c:pt>
                <c:pt idx="106">
                  <c:v>13.489628825916634</c:v>
                </c:pt>
                <c:pt idx="107">
                  <c:v>14.125375446227647</c:v>
                </c:pt>
                <c:pt idx="108">
                  <c:v>14.791083881682184</c:v>
                </c:pt>
                <c:pt idx="109">
                  <c:v>15.488166189124929</c:v>
                </c:pt>
                <c:pt idx="110">
                  <c:v>16.218100973589422</c:v>
                </c:pt>
                <c:pt idx="111">
                  <c:v>16.982436524617572</c:v>
                </c:pt>
                <c:pt idx="112">
                  <c:v>17.782794100389363</c:v>
                </c:pt>
                <c:pt idx="113">
                  <c:v>18.62087136662882</c:v>
                </c:pt>
                <c:pt idx="114">
                  <c:v>19.498445997580607</c:v>
                </c:pt>
                <c:pt idx="115">
                  <c:v>20.417379446695456</c:v>
                </c:pt>
                <c:pt idx="116">
                  <c:v>21.379620895022494</c:v>
                </c:pt>
                <c:pt idx="117">
                  <c:v>22.387211385683578</c:v>
                </c:pt>
                <c:pt idx="118">
                  <c:v>23.442288153199414</c:v>
                </c:pt>
                <c:pt idx="119">
                  <c:v>24.547089156850507</c:v>
                </c:pt>
                <c:pt idx="120">
                  <c:v>25.703957827688853</c:v>
                </c:pt>
                <c:pt idx="121">
                  <c:v>26.915348039269386</c:v>
                </c:pt>
                <c:pt idx="122">
                  <c:v>28.18382931264478</c:v>
                </c:pt>
                <c:pt idx="123">
                  <c:v>29.512092266664112</c:v>
                </c:pt>
                <c:pt idx="124">
                  <c:v>30.902954325136175</c:v>
                </c:pt>
                <c:pt idx="125">
                  <c:v>32.35936569296311</c:v>
                </c:pt>
                <c:pt idx="126">
                  <c:v>33.88441561392055</c:v>
                </c:pt>
                <c:pt idx="127">
                  <c:v>35.48133892335786</c:v>
                </c:pt>
                <c:pt idx="128">
                  <c:v>37.15352290971759</c:v>
                </c:pt>
                <c:pt idx="129">
                  <c:v>38.90451449942841</c:v>
                </c:pt>
                <c:pt idx="130">
                  <c:v>40.73802778041164</c:v>
                </c:pt>
                <c:pt idx="131">
                  <c:v>42.65795188015966</c:v>
                </c:pt>
                <c:pt idx="132">
                  <c:v>44.66835921509673</c:v>
                </c:pt>
                <c:pt idx="133">
                  <c:v>46.77351412872026</c:v>
                </c:pt>
                <c:pt idx="134">
                  <c:v>48.97788193684508</c:v>
                </c:pt>
                <c:pt idx="135">
                  <c:v>51.28613839913697</c:v>
                </c:pt>
                <c:pt idx="136">
                  <c:v>53.70317963702579</c:v>
                </c:pt>
                <c:pt idx="137">
                  <c:v>56.234132519035455</c:v>
                </c:pt>
                <c:pt idx="138">
                  <c:v>58.884365535559475</c:v>
                </c:pt>
                <c:pt idx="139">
                  <c:v>61.659500186148826</c:v>
                </c:pt>
                <c:pt idx="140">
                  <c:v>64.5654229034662</c:v>
                </c:pt>
                <c:pt idx="141">
                  <c:v>67.60829753919886</c:v>
                </c:pt>
                <c:pt idx="142">
                  <c:v>70.7945784384145</c:v>
                </c:pt>
                <c:pt idx="143">
                  <c:v>74.1310241300925</c:v>
                </c:pt>
                <c:pt idx="144">
                  <c:v>77.62471166286996</c:v>
                </c:pt>
                <c:pt idx="145">
                  <c:v>81.28305161641075</c:v>
                </c:pt>
                <c:pt idx="146">
                  <c:v>85.11380382023852</c:v>
                </c:pt>
                <c:pt idx="147">
                  <c:v>89.12509381337547</c:v>
                </c:pt>
                <c:pt idx="148">
                  <c:v>93.32543007970007</c:v>
                </c:pt>
                <c:pt idx="149">
                  <c:v>97.72372209558209</c:v>
                </c:pt>
                <c:pt idx="150">
                  <c:v>102.3292992280765</c:v>
                </c:pt>
                <c:pt idx="151">
                  <c:v>107.15193052376178</c:v>
                </c:pt>
                <c:pt idx="152">
                  <c:v>112.20184543019754</c:v>
                </c:pt>
                <c:pt idx="153">
                  <c:v>117.4897554939542</c:v>
                </c:pt>
                <c:pt idx="154">
                  <c:v>123.02687708123948</c:v>
                </c:pt>
                <c:pt idx="155">
                  <c:v>128.8249551693148</c:v>
                </c:pt>
                <c:pt idx="156">
                  <c:v>134.89628825916682</c:v>
                </c:pt>
                <c:pt idx="157">
                  <c:v>141.25375446227696</c:v>
                </c:pt>
                <c:pt idx="158">
                  <c:v>147.91083881682235</c:v>
                </c:pt>
                <c:pt idx="159">
                  <c:v>154.88166189124982</c:v>
                </c:pt>
                <c:pt idx="160">
                  <c:v>162.18100973589478</c:v>
                </c:pt>
                <c:pt idx="161">
                  <c:v>169.8243652461763</c:v>
                </c:pt>
                <c:pt idx="162">
                  <c:v>177.82794100389427</c:v>
                </c:pt>
                <c:pt idx="163">
                  <c:v>186.20871366628884</c:v>
                </c:pt>
                <c:pt idx="164">
                  <c:v>194.98445997580674</c:v>
                </c:pt>
                <c:pt idx="165">
                  <c:v>204.17379446695526</c:v>
                </c:pt>
                <c:pt idx="166">
                  <c:v>213.79620895022566</c:v>
                </c:pt>
                <c:pt idx="167">
                  <c:v>223.87211385683653</c:v>
                </c:pt>
                <c:pt idx="168">
                  <c:v>234.42288153199493</c:v>
                </c:pt>
                <c:pt idx="169">
                  <c:v>245.4708915685059</c:v>
                </c:pt>
                <c:pt idx="170">
                  <c:v>257.0395782768894</c:v>
                </c:pt>
                <c:pt idx="171">
                  <c:v>269.15348039269475</c:v>
                </c:pt>
                <c:pt idx="172">
                  <c:v>281.8382931264487</c:v>
                </c:pt>
                <c:pt idx="173">
                  <c:v>295.12092266664206</c:v>
                </c:pt>
                <c:pt idx="174">
                  <c:v>309.0295432513627</c:v>
                </c:pt>
                <c:pt idx="175">
                  <c:v>323.5936569296321</c:v>
                </c:pt>
                <c:pt idx="176">
                  <c:v>338.84415613920663</c:v>
                </c:pt>
                <c:pt idx="177">
                  <c:v>354.81338923357976</c:v>
                </c:pt>
                <c:pt idx="178">
                  <c:v>371.5352290971771</c:v>
                </c:pt>
                <c:pt idx="179">
                  <c:v>389.0451449942854</c:v>
                </c:pt>
                <c:pt idx="180">
                  <c:v>407.3802778041178</c:v>
                </c:pt>
                <c:pt idx="181">
                  <c:v>426.579518801598</c:v>
                </c:pt>
                <c:pt idx="182">
                  <c:v>446.68359215096876</c:v>
                </c:pt>
                <c:pt idx="183">
                  <c:v>467.73514128720416</c:v>
                </c:pt>
                <c:pt idx="184">
                  <c:v>489.7788193684525</c:v>
                </c:pt>
                <c:pt idx="185">
                  <c:v>512.8613839913716</c:v>
                </c:pt>
                <c:pt idx="186">
                  <c:v>537.0317963702598</c:v>
                </c:pt>
                <c:pt idx="187">
                  <c:v>562.3413251903565</c:v>
                </c:pt>
                <c:pt idx="188">
                  <c:v>588.8436553555969</c:v>
                </c:pt>
                <c:pt idx="189">
                  <c:v>616.5950018614905</c:v>
                </c:pt>
                <c:pt idx="190">
                  <c:v>645.6542290346642</c:v>
                </c:pt>
                <c:pt idx="191">
                  <c:v>676.082975391991</c:v>
                </c:pt>
                <c:pt idx="192">
                  <c:v>707.9457843841476</c:v>
                </c:pt>
                <c:pt idx="193">
                  <c:v>741.3102413009277</c:v>
                </c:pt>
                <c:pt idx="194">
                  <c:v>776.2471166287024</c:v>
                </c:pt>
                <c:pt idx="195">
                  <c:v>812.8305161641105</c:v>
                </c:pt>
                <c:pt idx="196">
                  <c:v>851.1380382023883</c:v>
                </c:pt>
                <c:pt idx="197">
                  <c:v>891.250938133758</c:v>
                </c:pt>
                <c:pt idx="198">
                  <c:v>933.2543007970042</c:v>
                </c:pt>
                <c:pt idx="199">
                  <c:v>977.2372209558246</c:v>
                </c:pt>
              </c:numCache>
            </c:numRef>
          </c:xVal>
          <c:yVal>
            <c:numRef>
              <c:f>COMPUTATION!$T$7:$T$206</c:f>
              <c:numCache>
                <c:ptCount val="200"/>
                <c:pt idx="0">
                  <c:v>34.26221230884255</c:v>
                </c:pt>
                <c:pt idx="1">
                  <c:v>34.2908680575454</c:v>
                </c:pt>
                <c:pt idx="2">
                  <c:v>34.319499879569534</c:v>
                </c:pt>
                <c:pt idx="3">
                  <c:v>34.34810783474919</c:v>
                </c:pt>
                <c:pt idx="4">
                  <c:v>34.37669198266966</c:v>
                </c:pt>
                <c:pt idx="5">
                  <c:v>34.4052523826687</c:v>
                </c:pt>
                <c:pt idx="6">
                  <c:v>34.433789093837994</c:v>
                </c:pt>
                <c:pt idx="7">
                  <c:v>34.46230217502455</c:v>
                </c:pt>
                <c:pt idx="8">
                  <c:v>34.49079168483217</c:v>
                </c:pt>
                <c:pt idx="9">
                  <c:v>34.519257681622776</c:v>
                </c:pt>
                <c:pt idx="10">
                  <c:v>34.54770022351791</c:v>
                </c:pt>
                <c:pt idx="11">
                  <c:v>34.576119368399986</c:v>
                </c:pt>
                <c:pt idx="12">
                  <c:v>34.6045151739138</c:v>
                </c:pt>
                <c:pt idx="13">
                  <c:v>34.632887697467794</c:v>
                </c:pt>
                <c:pt idx="14">
                  <c:v>34.661236996235466</c:v>
                </c:pt>
                <c:pt idx="15">
                  <c:v>34.68956312715667</c:v>
                </c:pt>
                <c:pt idx="16">
                  <c:v>34.717866146939</c:v>
                </c:pt>
                <c:pt idx="17">
                  <c:v>34.746146112059094</c:v>
                </c:pt>
                <c:pt idx="18">
                  <c:v>34.77440307876391</c:v>
                </c:pt>
                <c:pt idx="19">
                  <c:v>34.802637103072094</c:v>
                </c:pt>
                <c:pt idx="20">
                  <c:v>34.83084824077525</c:v>
                </c:pt>
                <c:pt idx="21">
                  <c:v>34.8590365474392</c:v>
                </c:pt>
                <c:pt idx="22">
                  <c:v>34.88720207840531</c:v>
                </c:pt>
                <c:pt idx="23">
                  <c:v>34.91534488879171</c:v>
                </c:pt>
                <c:pt idx="24">
                  <c:v>34.94346503349459</c:v>
                </c:pt>
                <c:pt idx="25">
                  <c:v>34.97156256718943</c:v>
                </c:pt>
                <c:pt idx="26">
                  <c:v>34.99963754433224</c:v>
                </c:pt>
                <c:pt idx="27">
                  <c:v>35.02769001916079</c:v>
                </c:pt>
                <c:pt idx="28">
                  <c:v>35.05572004569586</c:v>
                </c:pt>
                <c:pt idx="29">
                  <c:v>35.083727677742395</c:v>
                </c:pt>
                <c:pt idx="30">
                  <c:v>35.111712968890785</c:v>
                </c:pt>
                <c:pt idx="31">
                  <c:v>35.139675972518006</c:v>
                </c:pt>
                <c:pt idx="32">
                  <c:v>35.16761674178882</c:v>
                </c:pt>
                <c:pt idx="33">
                  <c:v>35.19553532965695</c:v>
                </c:pt>
                <c:pt idx="34">
                  <c:v>35.22343178886629</c:v>
                </c:pt>
                <c:pt idx="35">
                  <c:v>35.25130617195202</c:v>
                </c:pt>
                <c:pt idx="36">
                  <c:v>35.279158531241755</c:v>
                </c:pt>
                <c:pt idx="37">
                  <c:v>35.30698891885675</c:v>
                </c:pt>
                <c:pt idx="38">
                  <c:v>35.33479738671299</c:v>
                </c:pt>
                <c:pt idx="39">
                  <c:v>35.362583986522324</c:v>
                </c:pt>
                <c:pt idx="40">
                  <c:v>35.39034876979359</c:v>
                </c:pt>
                <c:pt idx="41">
                  <c:v>35.41809178783375</c:v>
                </c:pt>
                <c:pt idx="42">
                  <c:v>35.44581309174896</c:v>
                </c:pt>
                <c:pt idx="43">
                  <c:v>35.47351273244571</c:v>
                </c:pt>
                <c:pt idx="44">
                  <c:v>35.50119076063187</c:v>
                </c:pt>
                <c:pt idx="45">
                  <c:v>35.52884722681781</c:v>
                </c:pt>
                <c:pt idx="46">
                  <c:v>35.55648218131744</c:v>
                </c:pt>
                <c:pt idx="47">
                  <c:v>35.58409567424934</c:v>
                </c:pt>
                <c:pt idx="48">
                  <c:v>35.61168775553774</c:v>
                </c:pt>
                <c:pt idx="49">
                  <c:v>35.63925847491362</c:v>
                </c:pt>
                <c:pt idx="50">
                  <c:v>35.66680788191576</c:v>
                </c:pt>
                <c:pt idx="51">
                  <c:v>35.69433602589175</c:v>
                </c:pt>
                <c:pt idx="52">
                  <c:v>35.72184295599906</c:v>
                </c:pt>
                <c:pt idx="53">
                  <c:v>35.74932872120601</c:v>
                </c:pt>
                <c:pt idx="54">
                  <c:v>35.77679337029286</c:v>
                </c:pt>
                <c:pt idx="55">
                  <c:v>35.80423695185273</c:v>
                </c:pt>
                <c:pt idx="56">
                  <c:v>35.831659514292696</c:v>
                </c:pt>
                <c:pt idx="57">
                  <c:v>35.85906110583472</c:v>
                </c:pt>
                <c:pt idx="58">
                  <c:v>35.88644177451665</c:v>
                </c:pt>
                <c:pt idx="59">
                  <c:v>35.91380156819324</c:v>
                </c:pt>
                <c:pt idx="60">
                  <c:v>35.94114053453709</c:v>
                </c:pt>
                <c:pt idx="61">
                  <c:v>35.96845872103962</c:v>
                </c:pt>
                <c:pt idx="62">
                  <c:v>35.995756175012026</c:v>
                </c:pt>
                <c:pt idx="63">
                  <c:v>36.02303294358628</c:v>
                </c:pt>
                <c:pt idx="64">
                  <c:v>36.05028907371601</c:v>
                </c:pt>
                <c:pt idx="65">
                  <c:v>36.077524612177506</c:v>
                </c:pt>
                <c:pt idx="66">
                  <c:v>36.104739605570614</c:v>
                </c:pt>
                <c:pt idx="67">
                  <c:v>36.1319341003197</c:v>
                </c:pt>
                <c:pt idx="68">
                  <c:v>36.159108142674526</c:v>
                </c:pt>
                <c:pt idx="69">
                  <c:v>36.18626177871123</c:v>
                </c:pt>
                <c:pt idx="70">
                  <c:v>36.213395054333176</c:v>
                </c:pt>
                <c:pt idx="71">
                  <c:v>36.24050801527192</c:v>
                </c:pt>
                <c:pt idx="72">
                  <c:v>36.26760070708805</c:v>
                </c:pt>
                <c:pt idx="73">
                  <c:v>36.294673175172136</c:v>
                </c:pt>
                <c:pt idx="74">
                  <c:v>36.32172546474555</c:v>
                </c:pt>
                <c:pt idx="75">
                  <c:v>36.34875762086142</c:v>
                </c:pt>
                <c:pt idx="76">
                  <c:v>36.37576968840545</c:v>
                </c:pt>
                <c:pt idx="77">
                  <c:v>36.402761712096826</c:v>
                </c:pt>
                <c:pt idx="78">
                  <c:v>36.42973373648905</c:v>
                </c:pt>
                <c:pt idx="79">
                  <c:v>36.45668580597082</c:v>
                </c:pt>
                <c:pt idx="80">
                  <c:v>36.483617964766864</c:v>
                </c:pt>
                <c:pt idx="81">
                  <c:v>36.51053025693883</c:v>
                </c:pt>
                <c:pt idx="82">
                  <c:v>36.53742272638604</c:v>
                </c:pt>
                <c:pt idx="83">
                  <c:v>36.564295416846434</c:v>
                </c:pt>
                <c:pt idx="84">
                  <c:v>36.591148371897305</c:v>
                </c:pt>
                <c:pt idx="85">
                  <c:v>36.61798163495619</c:v>
                </c:pt>
                <c:pt idx="86">
                  <c:v>36.644795249281636</c:v>
                </c:pt>
                <c:pt idx="87">
                  <c:v>36.67158925797408</c:v>
                </c:pt>
                <c:pt idx="88">
                  <c:v>36.698363703976575</c:v>
                </c:pt>
                <c:pt idx="89">
                  <c:v>36.72511863007567</c:v>
                </c:pt>
                <c:pt idx="90">
                  <c:v>36.751854078902156</c:v>
                </c:pt>
                <c:pt idx="91">
                  <c:v>36.77857009293187</c:v>
                </c:pt>
                <c:pt idx="92">
                  <c:v>36.80526671448651</c:v>
                </c:pt>
                <c:pt idx="93">
                  <c:v>36.83194398573437</c:v>
                </c:pt>
                <c:pt idx="94">
                  <c:v>36.85860194869116</c:v>
                </c:pt>
                <c:pt idx="95">
                  <c:v>36.88524064522076</c:v>
                </c:pt>
                <c:pt idx="96">
                  <c:v>36.91186011703598</c:v>
                </c:pt>
                <c:pt idx="97">
                  <c:v>36.938460405699324</c:v>
                </c:pt>
                <c:pt idx="98">
                  <c:v>36.96504155262378</c:v>
                </c:pt>
                <c:pt idx="99">
                  <c:v>36.991603599073514</c:v>
                </c:pt>
                <c:pt idx="100">
                  <c:v>37.01814658616466</c:v>
                </c:pt>
                <c:pt idx="101">
                  <c:v>37.04467055486605</c:v>
                </c:pt>
                <c:pt idx="102">
                  <c:v>37.071175545999964</c:v>
                </c:pt>
                <c:pt idx="103">
                  <c:v>37.09766160024283</c:v>
                </c:pt>
                <c:pt idx="104">
                  <c:v>37.12412875812599</c:v>
                </c:pt>
                <c:pt idx="105">
                  <c:v>37.1505770600364</c:v>
                </c:pt>
                <c:pt idx="106">
                  <c:v>37.17700654621736</c:v>
                </c:pt>
                <c:pt idx="107">
                  <c:v>37.20341725676923</c:v>
                </c:pt>
                <c:pt idx="108">
                  <c:v>37.229809231650115</c:v>
                </c:pt>
                <c:pt idx="109">
                  <c:v>37.25618251067661</c:v>
                </c:pt>
                <c:pt idx="110">
                  <c:v>37.28253713352448</c:v>
                </c:pt>
                <c:pt idx="111">
                  <c:v>37.308873139729336</c:v>
                </c:pt>
                <c:pt idx="112">
                  <c:v>37.33519056868738</c:v>
                </c:pt>
                <c:pt idx="113">
                  <c:v>37.36148945965603</c:v>
                </c:pt>
                <c:pt idx="114">
                  <c:v>37.387769851754655</c:v>
                </c:pt>
                <c:pt idx="115">
                  <c:v>37.41403178396522</c:v>
                </c:pt>
                <c:pt idx="116">
                  <c:v>37.44027529513299</c:v>
                </c:pt>
                <c:pt idx="117">
                  <c:v>37.46650042396716</c:v>
                </c:pt>
                <c:pt idx="118">
                  <c:v>37.49270720904156</c:v>
                </c:pt>
                <c:pt idx="119">
                  <c:v>37.518895688795304</c:v>
                </c:pt>
                <c:pt idx="120">
                  <c:v>37.545065901533434</c:v>
                </c:pt>
                <c:pt idx="121">
                  <c:v>37.57121788542759</c:v>
                </c:pt>
                <c:pt idx="122">
                  <c:v>37.59735167851667</c:v>
                </c:pt>
                <c:pt idx="123">
                  <c:v>37.623467318707426</c:v>
                </c:pt>
                <c:pt idx="124">
                  <c:v>37.649564843775174</c:v>
                </c:pt>
                <c:pt idx="125">
                  <c:v>37.67564429136438</c:v>
                </c:pt>
                <c:pt idx="126">
                  <c:v>37.70170569898931</c:v>
                </c:pt>
                <c:pt idx="127">
                  <c:v>37.727749104034665</c:v>
                </c:pt>
                <c:pt idx="128">
                  <c:v>37.753774543756215</c:v>
                </c:pt>
                <c:pt idx="129">
                  <c:v>37.779782055281366</c:v>
                </c:pt>
                <c:pt idx="130">
                  <c:v>37.805771675609876</c:v>
                </c:pt>
                <c:pt idx="131">
                  <c:v>37.831743441614364</c:v>
                </c:pt>
                <c:pt idx="132">
                  <c:v>37.857697390041004</c:v>
                </c:pt>
                <c:pt idx="133">
                  <c:v>37.883633557510066</c:v>
                </c:pt>
                <c:pt idx="134">
                  <c:v>37.90955198051658</c:v>
                </c:pt>
                <c:pt idx="135">
                  <c:v>37.93545269543089</c:v>
                </c:pt>
                <c:pt idx="136">
                  <c:v>37.96133573849925</c:v>
                </c:pt>
                <c:pt idx="137">
                  <c:v>37.98720114584445</c:v>
                </c:pt>
                <c:pt idx="138">
                  <c:v>38.01304895346639</c:v>
                </c:pt>
                <c:pt idx="139">
                  <c:v>38.03887919724262</c:v>
                </c:pt>
                <c:pt idx="140">
                  <c:v>38.06469191292901</c:v>
                </c:pt>
                <c:pt idx="141">
                  <c:v>38.09048713616024</c:v>
                </c:pt>
                <c:pt idx="142">
                  <c:v>38.11626490245043</c:v>
                </c:pt>
                <c:pt idx="143">
                  <c:v>38.142025247193686</c:v>
                </c:pt>
                <c:pt idx="144">
                  <c:v>38.16776820566466</c:v>
                </c:pt>
                <c:pt idx="145">
                  <c:v>38.193493813019145</c:v>
                </c:pt>
                <c:pt idx="146">
                  <c:v>38.21920210429461</c:v>
                </c:pt>
                <c:pt idx="147">
                  <c:v>38.24489311441076</c:v>
                </c:pt>
                <c:pt idx="148">
                  <c:v>38.27056687817008</c:v>
                </c:pt>
                <c:pt idx="149">
                  <c:v>38.29622343025843</c:v>
                </c:pt>
                <c:pt idx="150">
                  <c:v>38.32186280524552</c:v>
                </c:pt>
                <c:pt idx="151">
                  <c:v>38.34748503758553</c:v>
                </c:pt>
                <c:pt idx="152">
                  <c:v>38.373090161617576</c:v>
                </c:pt>
                <c:pt idx="153">
                  <c:v>38.39867821156631</c:v>
                </c:pt>
                <c:pt idx="154">
                  <c:v>38.424249221542425</c:v>
                </c:pt>
                <c:pt idx="155">
                  <c:v>38.44980322554316</c:v>
                </c:pt>
                <c:pt idx="156">
                  <c:v>38.475340257452885</c:v>
                </c:pt>
                <c:pt idx="157">
                  <c:v>38.50086035104359</c:v>
                </c:pt>
                <c:pt idx="158">
                  <c:v>38.52636353997541</c:v>
                </c:pt>
                <c:pt idx="159">
                  <c:v>38.55184985779712</c:v>
                </c:pt>
                <c:pt idx="160">
                  <c:v>38.57731933794671</c:v>
                </c:pt>
                <c:pt idx="161">
                  <c:v>38.60277201375185</c:v>
                </c:pt>
                <c:pt idx="162">
                  <c:v>38.6282079184304</c:v>
                </c:pt>
                <c:pt idx="163">
                  <c:v>38.653627085090925</c:v>
                </c:pt>
                <c:pt idx="164">
                  <c:v>38.679029546733204</c:v>
                </c:pt>
                <c:pt idx="165">
                  <c:v>38.704415336248736</c:v>
                </c:pt>
                <c:pt idx="166">
                  <c:v>38.729784486421195</c:v>
                </c:pt>
                <c:pt idx="167">
                  <c:v>38.755137029926985</c:v>
                </c:pt>
                <c:pt idx="168">
                  <c:v>38.78047299933568</c:v>
                </c:pt>
                <c:pt idx="169">
                  <c:v>38.80579242711053</c:v>
                </c:pt>
                <c:pt idx="170">
                  <c:v>38.83109534560897</c:v>
                </c:pt>
                <c:pt idx="171">
                  <c:v>38.856381787083066</c:v>
                </c:pt>
                <c:pt idx="172">
                  <c:v>38.88165178368</c:v>
                </c:pt>
                <c:pt idx="173">
                  <c:v>38.906905367442576</c:v>
                </c:pt>
                <c:pt idx="174">
                  <c:v>38.93214257030966</c:v>
                </c:pt>
                <c:pt idx="175">
                  <c:v>38.95736342411667</c:v>
                </c:pt>
                <c:pt idx="176">
                  <c:v>38.98256796059604</c:v>
                </c:pt>
                <c:pt idx="177">
                  <c:v>39.007756211377696</c:v>
                </c:pt>
                <c:pt idx="178">
                  <c:v>39.03292820798948</c:v>
                </c:pt>
                <c:pt idx="179">
                  <c:v>39.05808398185766</c:v>
                </c:pt>
                <c:pt idx="180">
                  <c:v>39.08322356430739</c:v>
                </c:pt>
                <c:pt idx="181">
                  <c:v>39.108346986563085</c:v>
                </c:pt>
                <c:pt idx="182">
                  <c:v>39.133454279748975</c:v>
                </c:pt>
                <c:pt idx="183">
                  <c:v>39.15854547488951</c:v>
                </c:pt>
                <c:pt idx="184">
                  <c:v>39.18362060290977</c:v>
                </c:pt>
                <c:pt idx="185">
                  <c:v>39.20867969463599</c:v>
                </c:pt>
                <c:pt idx="186">
                  <c:v>39.233722780795944</c:v>
                </c:pt>
                <c:pt idx="187">
                  <c:v>39.25874989201939</c:v>
                </c:pt>
                <c:pt idx="188">
                  <c:v>39.28376105883852</c:v>
                </c:pt>
                <c:pt idx="189">
                  <c:v>39.30875631168841</c:v>
                </c:pt>
                <c:pt idx="190">
                  <c:v>39.33373568090742</c:v>
                </c:pt>
                <c:pt idx="191">
                  <c:v>39.358699196737625</c:v>
                </c:pt>
                <c:pt idx="192">
                  <c:v>39.38364688932528</c:v>
                </c:pt>
                <c:pt idx="193">
                  <c:v>39.4085787887212</c:v>
                </c:pt>
                <c:pt idx="194">
                  <c:v>39.43349492488121</c:v>
                </c:pt>
                <c:pt idx="195">
                  <c:v>39.45839532766656</c:v>
                </c:pt>
                <c:pt idx="196">
                  <c:v>39.48328002684432</c:v>
                </c:pt>
                <c:pt idx="197">
                  <c:v>39.508149052087845</c:v>
                </c:pt>
                <c:pt idx="198">
                  <c:v>39.53300243297712</c:v>
                </c:pt>
                <c:pt idx="199">
                  <c:v>39.557840198999244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COMPUTATION!$X$6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COMPUTATION!$W$7:$W$26</c:f>
              <c:numCache>
                <c:ptCount val="20"/>
                <c:pt idx="0">
                  <c:v>0.25</c:v>
                </c:pt>
                <c:pt idx="1">
                  <c:v>34.6</c:v>
                </c:pt>
                <c:pt idx="2">
                  <c:v>250</c:v>
                </c:pt>
                <c:pt idx="3">
                  <c:v>253</c:v>
                </c:pt>
                <c:pt idx="4">
                  <c:v>254</c:v>
                </c:pt>
                <c:pt idx="5">
                  <c:v>254</c:v>
                </c:pt>
                <c:pt idx="6">
                  <c:v>254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254</c:v>
                </c:pt>
                <c:pt idx="11">
                  <c:v>254</c:v>
                </c:pt>
                <c:pt idx="12">
                  <c:v>254</c:v>
                </c:pt>
                <c:pt idx="13">
                  <c:v>254</c:v>
                </c:pt>
                <c:pt idx="14">
                  <c:v>254</c:v>
                </c:pt>
                <c:pt idx="15">
                  <c:v>254</c:v>
                </c:pt>
                <c:pt idx="16">
                  <c:v>254</c:v>
                </c:pt>
                <c:pt idx="17">
                  <c:v>254</c:v>
                </c:pt>
                <c:pt idx="18">
                  <c:v>254</c:v>
                </c:pt>
                <c:pt idx="19">
                  <c:v>254</c:v>
                </c:pt>
              </c:numCache>
            </c:numRef>
          </c:xVal>
          <c:yVal>
            <c:numRef>
              <c:f>COMPUTATION!$X$7:$X$26</c:f>
              <c:numCache>
                <c:ptCount val="20"/>
                <c:pt idx="0">
                  <c:v>34.88</c:v>
                </c:pt>
                <c:pt idx="1">
                  <c:v>37.5</c:v>
                </c:pt>
                <c:pt idx="2">
                  <c:v>38.9</c:v>
                </c:pt>
                <c:pt idx="3">
                  <c:v>38.78</c:v>
                </c:pt>
                <c:pt idx="4">
                  <c:v>38.93</c:v>
                </c:pt>
                <c:pt idx="5">
                  <c:v>38.93</c:v>
                </c:pt>
                <c:pt idx="6">
                  <c:v>38.93</c:v>
                </c:pt>
                <c:pt idx="7">
                  <c:v>38.93</c:v>
                </c:pt>
                <c:pt idx="8">
                  <c:v>38.93</c:v>
                </c:pt>
                <c:pt idx="9">
                  <c:v>38.93</c:v>
                </c:pt>
                <c:pt idx="10">
                  <c:v>38.93</c:v>
                </c:pt>
                <c:pt idx="11">
                  <c:v>38.93</c:v>
                </c:pt>
                <c:pt idx="12">
                  <c:v>38.93</c:v>
                </c:pt>
                <c:pt idx="13">
                  <c:v>38.93</c:v>
                </c:pt>
                <c:pt idx="14">
                  <c:v>38.93</c:v>
                </c:pt>
                <c:pt idx="15">
                  <c:v>38.93</c:v>
                </c:pt>
                <c:pt idx="16">
                  <c:v>38.93</c:v>
                </c:pt>
                <c:pt idx="17">
                  <c:v>38.93</c:v>
                </c:pt>
                <c:pt idx="18">
                  <c:v>38.93</c:v>
                </c:pt>
                <c:pt idx="19">
                  <c:v>38.93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COMPUTATION!$X$6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COMPUTATION!$W$7:$W$26</c:f>
              <c:numCache>
                <c:ptCount val="20"/>
                <c:pt idx="0">
                  <c:v>0.25</c:v>
                </c:pt>
                <c:pt idx="1">
                  <c:v>34.6</c:v>
                </c:pt>
                <c:pt idx="2">
                  <c:v>250</c:v>
                </c:pt>
                <c:pt idx="3">
                  <c:v>253</c:v>
                </c:pt>
                <c:pt idx="4">
                  <c:v>254</c:v>
                </c:pt>
                <c:pt idx="5">
                  <c:v>254</c:v>
                </c:pt>
                <c:pt idx="6">
                  <c:v>254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254</c:v>
                </c:pt>
                <c:pt idx="11">
                  <c:v>254</c:v>
                </c:pt>
                <c:pt idx="12">
                  <c:v>254</c:v>
                </c:pt>
                <c:pt idx="13">
                  <c:v>254</c:v>
                </c:pt>
                <c:pt idx="14">
                  <c:v>254</c:v>
                </c:pt>
                <c:pt idx="15">
                  <c:v>254</c:v>
                </c:pt>
                <c:pt idx="16">
                  <c:v>254</c:v>
                </c:pt>
                <c:pt idx="17">
                  <c:v>254</c:v>
                </c:pt>
                <c:pt idx="18">
                  <c:v>254</c:v>
                </c:pt>
                <c:pt idx="19">
                  <c:v>254</c:v>
                </c:pt>
              </c:numCache>
            </c:numRef>
          </c:xVal>
          <c:yVal>
            <c:numRef>
              <c:f>COMPUTATION!$X$7:$X$26</c:f>
              <c:numCache>
                <c:ptCount val="20"/>
                <c:pt idx="0">
                  <c:v>34.88</c:v>
                </c:pt>
                <c:pt idx="1">
                  <c:v>37.5</c:v>
                </c:pt>
                <c:pt idx="2">
                  <c:v>38.9</c:v>
                </c:pt>
                <c:pt idx="3">
                  <c:v>38.78</c:v>
                </c:pt>
                <c:pt idx="4">
                  <c:v>38.93</c:v>
                </c:pt>
                <c:pt idx="5">
                  <c:v>38.93</c:v>
                </c:pt>
                <c:pt idx="6">
                  <c:v>38.93</c:v>
                </c:pt>
                <c:pt idx="7">
                  <c:v>38.93</c:v>
                </c:pt>
                <c:pt idx="8">
                  <c:v>38.93</c:v>
                </c:pt>
                <c:pt idx="9">
                  <c:v>38.93</c:v>
                </c:pt>
                <c:pt idx="10">
                  <c:v>38.93</c:v>
                </c:pt>
                <c:pt idx="11">
                  <c:v>38.93</c:v>
                </c:pt>
                <c:pt idx="12">
                  <c:v>38.93</c:v>
                </c:pt>
                <c:pt idx="13">
                  <c:v>38.93</c:v>
                </c:pt>
                <c:pt idx="14">
                  <c:v>38.93</c:v>
                </c:pt>
                <c:pt idx="15">
                  <c:v>38.93</c:v>
                </c:pt>
                <c:pt idx="16">
                  <c:v>38.93</c:v>
                </c:pt>
                <c:pt idx="17">
                  <c:v>38.93</c:v>
                </c:pt>
                <c:pt idx="18">
                  <c:v>38.93</c:v>
                </c:pt>
                <c:pt idx="19">
                  <c:v>38.93</c:v>
                </c:pt>
              </c:numCache>
            </c:numRef>
          </c:yVal>
          <c:smooth val="0"/>
        </c:ser>
        <c:axId val="448891"/>
        <c:axId val="32769044"/>
      </c:scatterChart>
      <c:valAx>
        <c:axId val="44889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69044"/>
        <c:crosses val="autoZero"/>
        <c:crossBetween val="midCat"/>
        <c:dispUnits/>
      </c:valAx>
      <c:valAx>
        <c:axId val="3276904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48891"/>
        <c:crossesAt val="1E-22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1425"/>
          <c:y val="0.78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49</xdr:row>
      <xdr:rowOff>142875</xdr:rowOff>
    </xdr:from>
    <xdr:to>
      <xdr:col>7</xdr:col>
      <xdr:colOff>19050</xdr:colOff>
      <xdr:row>51</xdr:row>
      <xdr:rowOff>19050</xdr:rowOff>
    </xdr:to>
    <xdr:sp>
      <xdr:nvSpPr>
        <xdr:cNvPr id="1" name="Rectangle 11"/>
        <xdr:cNvSpPr>
          <a:spLocks/>
        </xdr:cNvSpPr>
      </xdr:nvSpPr>
      <xdr:spPr>
        <a:xfrm>
          <a:off x="4429125" y="8162925"/>
          <a:ext cx="714375" cy="200025"/>
        </a:xfrm>
        <a:prstGeom prst="rect">
          <a:avLst/>
        </a:prstGeom>
        <a:noFill/>
        <a:ln w="22225" cmpd="sng">
          <a:solidFill>
            <a:srgbClr val="FF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76200</xdr:rowOff>
    </xdr:from>
    <xdr:to>
      <xdr:col>5</xdr:col>
      <xdr:colOff>819150</xdr:colOff>
      <xdr:row>50</xdr:row>
      <xdr:rowOff>85725</xdr:rowOff>
    </xdr:to>
    <xdr:sp>
      <xdr:nvSpPr>
        <xdr:cNvPr id="2" name="AutoShape 10"/>
        <xdr:cNvSpPr>
          <a:spLocks/>
        </xdr:cNvSpPr>
      </xdr:nvSpPr>
      <xdr:spPr>
        <a:xfrm rot="16200000" flipH="1">
          <a:off x="4114800" y="6257925"/>
          <a:ext cx="304800" cy="2009775"/>
        </a:xfrm>
        <a:prstGeom prst="curvedConnector2">
          <a:avLst>
            <a:gd name="adj1" fmla="val -254740"/>
            <a:gd name="adj2" fmla="val 2003125"/>
            <a:gd name="adj3" fmla="val -254740"/>
          </a:avLst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46</xdr:row>
      <xdr:rowOff>66675</xdr:rowOff>
    </xdr:from>
    <xdr:to>
      <xdr:col>11</xdr:col>
      <xdr:colOff>285750</xdr:colOff>
      <xdr:row>53</xdr:row>
      <xdr:rowOff>123825</xdr:rowOff>
    </xdr:to>
    <xdr:sp>
      <xdr:nvSpPr>
        <xdr:cNvPr id="3" name="AutoShape 12"/>
        <xdr:cNvSpPr>
          <a:spLocks/>
        </xdr:cNvSpPr>
      </xdr:nvSpPr>
      <xdr:spPr>
        <a:xfrm rot="5400000">
          <a:off x="5886450" y="7600950"/>
          <a:ext cx="2228850" cy="1190625"/>
        </a:xfrm>
        <a:prstGeom prst="curvedConnector3">
          <a:avLst>
            <a:gd name="adj1" fmla="val 398"/>
            <a:gd name="adj2" fmla="val -391027"/>
            <a:gd name="adj3" fmla="val -731601"/>
          </a:avLst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53</xdr:row>
      <xdr:rowOff>133350</xdr:rowOff>
    </xdr:from>
    <xdr:to>
      <xdr:col>9</xdr:col>
      <xdr:colOff>19050</xdr:colOff>
      <xdr:row>55</xdr:row>
      <xdr:rowOff>38100</xdr:rowOff>
    </xdr:to>
    <xdr:sp>
      <xdr:nvSpPr>
        <xdr:cNvPr id="4" name="Rectangle 13"/>
        <xdr:cNvSpPr>
          <a:spLocks/>
        </xdr:cNvSpPr>
      </xdr:nvSpPr>
      <xdr:spPr>
        <a:xfrm>
          <a:off x="5143500" y="8801100"/>
          <a:ext cx="1485900" cy="228600"/>
        </a:xfrm>
        <a:prstGeom prst="rect">
          <a:avLst/>
        </a:prstGeom>
        <a:noFill/>
        <a:ln w="22225" cmpd="sng">
          <a:solidFill>
            <a:srgbClr val="FF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</cdr:x>
      <cdr:y>0.84075</cdr:y>
    </cdr:from>
    <cdr:to>
      <cdr:x>0.7565</cdr:x>
      <cdr:y>0.8655</cdr:y>
    </cdr:to>
    <cdr:sp>
      <cdr:nvSpPr>
        <cdr:cNvPr id="1" name="Oval 1"/>
        <cdr:cNvSpPr>
          <a:spLocks/>
        </cdr:cNvSpPr>
      </cdr:nvSpPr>
      <cdr:spPr>
        <a:xfrm>
          <a:off x="3990975" y="358140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715000" y="0"/>
        <a:ext cx="0" cy="871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228600</xdr:colOff>
      <xdr:row>17</xdr:row>
      <xdr:rowOff>0</xdr:rowOff>
    </xdr:from>
    <xdr:ext cx="5314950" cy="4743450"/>
    <xdr:graphicFrame>
      <xdr:nvGraphicFramePr>
        <xdr:cNvPr id="2" name="Chart 41"/>
        <xdr:cNvGraphicFramePr/>
      </xdr:nvGraphicFramePr>
      <xdr:xfrm>
        <a:off x="228600" y="3190875"/>
        <a:ext cx="53149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1</xdr:col>
      <xdr:colOff>9525</xdr:colOff>
      <xdr:row>49</xdr:row>
      <xdr:rowOff>47625</xdr:rowOff>
    </xdr:from>
    <xdr:to>
      <xdr:col>8</xdr:col>
      <xdr:colOff>0</xdr:colOff>
      <xdr:row>53</xdr:row>
      <xdr:rowOff>123825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266700" y="8420100"/>
          <a:ext cx="5153025" cy="7239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Aquifer Test AT5A, NIROP, Fridley, MN
Data from end of 40 hours of pumping</a:t>
          </a:r>
        </a:p>
      </xdr:txBody>
    </xdr:sp>
    <xdr:clientData/>
  </xdr:twoCellAnchor>
  <xdr:twoCellAnchor>
    <xdr:from>
      <xdr:col>4</xdr:col>
      <xdr:colOff>600075</xdr:colOff>
      <xdr:row>15</xdr:row>
      <xdr:rowOff>19050</xdr:rowOff>
    </xdr:from>
    <xdr:to>
      <xdr:col>6</xdr:col>
      <xdr:colOff>190500</xdr:colOff>
      <xdr:row>16</xdr:row>
      <xdr:rowOff>9525</xdr:rowOff>
    </xdr:to>
    <xdr:sp macro="[0]!FitIt">
      <xdr:nvSpPr>
        <xdr:cNvPr id="4" name="AutoShape 93"/>
        <xdr:cNvSpPr>
          <a:spLocks/>
        </xdr:cNvSpPr>
      </xdr:nvSpPr>
      <xdr:spPr>
        <a:xfrm>
          <a:off x="3343275" y="2800350"/>
          <a:ext cx="895350" cy="219075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GROSS FIT</a:t>
          </a:r>
        </a:p>
      </xdr:txBody>
    </xdr:sp>
    <xdr:clientData fPrintsWithSheet="0"/>
  </xdr:twoCellAnchor>
  <xdr:twoCellAnchor>
    <xdr:from>
      <xdr:col>0</xdr:col>
      <xdr:colOff>219075</xdr:colOff>
      <xdr:row>75</xdr:row>
      <xdr:rowOff>104775</xdr:rowOff>
    </xdr:from>
    <xdr:to>
      <xdr:col>8</xdr:col>
      <xdr:colOff>219075</xdr:colOff>
      <xdr:row>102</xdr:row>
      <xdr:rowOff>0</xdr:rowOff>
    </xdr:to>
    <xdr:graphicFrame>
      <xdr:nvGraphicFramePr>
        <xdr:cNvPr id="5" name="Chart 96"/>
        <xdr:cNvGraphicFramePr/>
      </xdr:nvGraphicFramePr>
      <xdr:xfrm>
        <a:off x="219075" y="12696825"/>
        <a:ext cx="54197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6202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0</xdr:rowOff>
    </xdr:from>
    <xdr:to>
      <xdr:col>3</xdr:col>
      <xdr:colOff>333375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95450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4</xdr:col>
      <xdr:colOff>323850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7647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99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8" bestFit="1" customWidth="1"/>
    <col min="2" max="5" width="9.140625" style="8" customWidth="1"/>
    <col min="6" max="6" width="12.421875" style="8" bestFit="1" customWidth="1"/>
    <col min="7" max="7" width="10.421875" style="8" bestFit="1" customWidth="1"/>
    <col min="8" max="8" width="13.140625" style="8" bestFit="1" customWidth="1"/>
    <col min="9" max="20" width="9.140625" style="8" customWidth="1"/>
    <col min="21" max="21" width="12.00390625" style="35" bestFit="1" customWidth="1"/>
    <col min="22" max="16384" width="9.140625" style="8" customWidth="1"/>
  </cols>
  <sheetData>
    <row r="1" spans="2:20" ht="12.75">
      <c r="B1" s="8" t="s">
        <v>69</v>
      </c>
      <c r="C1" s="8">
        <f>1/12</f>
        <v>0.08333333333333333</v>
      </c>
      <c r="D1" s="8" t="s">
        <v>61</v>
      </c>
      <c r="E1" s="8">
        <f>1/86400</f>
        <v>1.1574074074074073E-05</v>
      </c>
      <c r="H1" s="8" t="s">
        <v>82</v>
      </c>
      <c r="I1" s="34">
        <f>1440/7.48</f>
        <v>192.5133689839572</v>
      </c>
      <c r="T1" s="45" t="s">
        <v>63</v>
      </c>
    </row>
    <row r="2" spans="2:30" ht="12.75">
      <c r="B2" s="8" t="s">
        <v>70</v>
      </c>
      <c r="C2" s="8">
        <v>1</v>
      </c>
      <c r="D2" s="8" t="s">
        <v>60</v>
      </c>
      <c r="E2" s="8">
        <f>1/1440</f>
        <v>0.0006944444444444445</v>
      </c>
      <c r="H2" s="8" t="s">
        <v>83</v>
      </c>
      <c r="I2" s="36">
        <v>1</v>
      </c>
      <c r="J2" s="37"/>
      <c r="K2" s="37"/>
      <c r="L2" s="37"/>
      <c r="M2" s="37"/>
      <c r="N2" s="37"/>
      <c r="O2" s="37"/>
      <c r="P2" s="37"/>
      <c r="Q2" s="37"/>
      <c r="R2">
        <f>LOG(S2)-S5/2</f>
        <v>-1.01</v>
      </c>
      <c r="S2">
        <f>10^INT(LOG(U2))</f>
        <v>0.1</v>
      </c>
      <c r="T2" s="104" t="s">
        <v>63</v>
      </c>
      <c r="U2" s="105">
        <f>MIN(DATA!$I$8:$I$28)</f>
        <v>0.25</v>
      </c>
      <c r="V2"/>
      <c r="W2"/>
      <c r="X2"/>
      <c r="Y2"/>
      <c r="AA2" s="8" t="str">
        <f>DATA!X4</f>
        <v>slope =</v>
      </c>
      <c r="AB2" s="8">
        <f>DATA!Y4</f>
        <v>98.22199218928606</v>
      </c>
      <c r="AD2" s="8">
        <v>1</v>
      </c>
    </row>
    <row r="3" spans="2:28" ht="12.75">
      <c r="B3" s="8" t="s">
        <v>71</v>
      </c>
      <c r="C3" s="8">
        <f>1/0.3048</f>
        <v>3.280839895013123</v>
      </c>
      <c r="D3" s="8" t="s">
        <v>59</v>
      </c>
      <c r="E3" s="8">
        <f>1/24</f>
        <v>0.041666666666666664</v>
      </c>
      <c r="H3" s="8" t="s">
        <v>84</v>
      </c>
      <c r="I3" s="38">
        <v>86400</v>
      </c>
      <c r="J3" s="39"/>
      <c r="K3" s="39"/>
      <c r="L3" s="39"/>
      <c r="M3" s="39"/>
      <c r="N3" s="39"/>
      <c r="O3" s="39"/>
      <c r="P3" s="39"/>
      <c r="Q3" s="39"/>
      <c r="R3"/>
      <c r="S3">
        <f>10^(INT(LOG(U3))+1)</f>
        <v>1000</v>
      </c>
      <c r="T3"/>
      <c r="U3" s="105">
        <f>MAX(DATA!$I$8:$I$28)</f>
        <v>254</v>
      </c>
      <c r="V3"/>
      <c r="W3"/>
      <c r="X3"/>
      <c r="Y3"/>
      <c r="AA3" s="8" t="str">
        <f>DATA!X5</f>
        <v>intercept =</v>
      </c>
      <c r="AB3" s="8">
        <f>DATA!Y5</f>
        <v>1271.138964563595</v>
      </c>
    </row>
    <row r="4" spans="2:30" ht="12.75">
      <c r="B4" s="8" t="s">
        <v>64</v>
      </c>
      <c r="C4" s="8">
        <f>C3/100</f>
        <v>0.03280839895013123</v>
      </c>
      <c r="D4" s="8" t="s">
        <v>62</v>
      </c>
      <c r="E4" s="8">
        <v>1</v>
      </c>
      <c r="H4" s="8" t="s">
        <v>85</v>
      </c>
      <c r="I4" s="34">
        <f>(39.4/12)^3</f>
        <v>35.39524537037036</v>
      </c>
      <c r="R4"/>
      <c r="S4">
        <v>200</v>
      </c>
      <c r="T4"/>
      <c r="U4"/>
      <c r="V4"/>
      <c r="W4"/>
      <c r="X4"/>
      <c r="Y4"/>
      <c r="AB4" s="8">
        <f>AB7-AB6</f>
        <v>333.75243699144744</v>
      </c>
      <c r="AC4" s="8">
        <v>4</v>
      </c>
      <c r="AD4" s="8">
        <f>10^INT(LOG(ABS(AB4)))</f>
        <v>100</v>
      </c>
    </row>
    <row r="5" spans="2:29" ht="12.75">
      <c r="B5" s="8" t="s">
        <v>65</v>
      </c>
      <c r="C5" s="8">
        <f>C4/10</f>
        <v>0.0032808398950131233</v>
      </c>
      <c r="H5" s="8" t="s">
        <v>86</v>
      </c>
      <c r="I5" s="34">
        <f>I4*86400</f>
        <v>3058149.1999999993</v>
      </c>
      <c r="R5">
        <f>10^S5</f>
        <v>1.0471285480508996</v>
      </c>
      <c r="S5">
        <f>LOG(S3/S2)/S4</f>
        <v>0.02</v>
      </c>
      <c r="T5"/>
      <c r="U5"/>
      <c r="V5"/>
      <c r="W5"/>
      <c r="X5"/>
      <c r="Y5"/>
      <c r="AA5" s="8" t="s">
        <v>163</v>
      </c>
      <c r="AB5" s="8" t="s">
        <v>164</v>
      </c>
      <c r="AC5" s="8" t="s">
        <v>168</v>
      </c>
    </row>
    <row r="6" spans="2:32" ht="12.75">
      <c r="B6" s="8" t="s">
        <v>74</v>
      </c>
      <c r="C6" s="8">
        <v>2.31</v>
      </c>
      <c r="H6" s="8" t="s">
        <v>87</v>
      </c>
      <c r="I6" s="34">
        <f>I5/1000</f>
        <v>3058.1491999999994</v>
      </c>
      <c r="R6"/>
      <c r="S6" t="s">
        <v>149</v>
      </c>
      <c r="T6" s="105" t="s">
        <v>165</v>
      </c>
      <c r="U6" t="s">
        <v>150</v>
      </c>
      <c r="W6" t="str">
        <f>DATA!I7</f>
        <v>Feet</v>
      </c>
      <c r="X6" t="s">
        <v>151</v>
      </c>
      <c r="Y6"/>
      <c r="AA6" s="8">
        <f>S2*2</f>
        <v>0.2</v>
      </c>
      <c r="AB6" s="8">
        <f>LOG(AA6)*$AB$2+$AB$3</f>
        <v>1202.4847382571572</v>
      </c>
      <c r="AC6" s="8">
        <f>AB6-$AB$4/$AC$4</f>
        <v>1119.0466290092954</v>
      </c>
      <c r="AD6" s="8">
        <f>IF(AC6&lt;=0,0,MROUND(AC6,$AD$4))</f>
        <v>1100</v>
      </c>
      <c r="AE6" s="8">
        <f>IF(AD6&lt;AD7,AD7,AD6)</f>
        <v>1600</v>
      </c>
      <c r="AF6" s="8" t="s">
        <v>169</v>
      </c>
    </row>
    <row r="7" spans="8:32" ht="12.75">
      <c r="H7" s="8" t="s">
        <v>88</v>
      </c>
      <c r="I7" s="34">
        <f>I6/60</f>
        <v>50.969153333333324</v>
      </c>
      <c r="R7"/>
      <c r="S7">
        <f>10^(R2+S5)</f>
        <v>0.10232929922807538</v>
      </c>
      <c r="T7" s="105">
        <f>U7^0.5</f>
        <v>34.26221230884255</v>
      </c>
      <c r="U7">
        <f aca="true" t="shared" si="0" ref="U7:U38">LOG(S7)*$H$45+$H$47</f>
        <v>1173.8991922962018</v>
      </c>
      <c r="W7">
        <f>DATA!I8</f>
        <v>0.25</v>
      </c>
      <c r="X7">
        <f>DATA!J8^0.5</f>
        <v>34.88</v>
      </c>
      <c r="Y7" s="105"/>
      <c r="AA7" s="8">
        <f>S3/2</f>
        <v>500</v>
      </c>
      <c r="AB7" s="8">
        <f>LOG(AA7)*$AB$2+$AB$3</f>
        <v>1536.2371752486047</v>
      </c>
      <c r="AC7" s="8">
        <f>AB7+$AB$4/$AC$4</f>
        <v>1619.6752844964665</v>
      </c>
      <c r="AD7" s="8">
        <f>IF(AC7&lt;=0,0,MROUND(AC7,$AD$4))</f>
        <v>1600</v>
      </c>
      <c r="AE7" s="8">
        <f>IF(AD7&gt;AD6,AD6,AD7)</f>
        <v>1100</v>
      </c>
      <c r="AF7" s="8" t="s">
        <v>170</v>
      </c>
    </row>
    <row r="8" spans="2:25" ht="12.75">
      <c r="B8" s="7" t="s">
        <v>72</v>
      </c>
      <c r="H8" s="8" t="s">
        <v>89</v>
      </c>
      <c r="I8" s="34">
        <f>I6/1000</f>
        <v>3.0581491999999995</v>
      </c>
      <c r="R8"/>
      <c r="S8">
        <f>S7*$R$5</f>
        <v>0.10715193052376061</v>
      </c>
      <c r="T8" s="105">
        <f aca="true" t="shared" si="1" ref="T8:T71">U8^0.5</f>
        <v>34.2908680575454</v>
      </c>
      <c r="U8">
        <f t="shared" si="0"/>
        <v>1175.8636321399874</v>
      </c>
      <c r="W8">
        <f>DATA!I9</f>
        <v>34.6</v>
      </c>
      <c r="X8">
        <f>DATA!J9^0.5</f>
        <v>37.5</v>
      </c>
      <c r="Y8" s="105"/>
    </row>
    <row r="9" spans="2:30" ht="12.75">
      <c r="B9" s="8" t="s">
        <v>73</v>
      </c>
      <c r="C9" s="8">
        <f>VLOOKUP('DEFAULT PROPERTIES and SETTINGS'!$D$5,COMPUTATION!$D$1:$E$4,2,0)/VLOOKUP('DEFAULT PROPERTIES and SETTINGS'!$D$4,COMPUTATION!$B$1:$C$5,2,0)^2</f>
        <v>1</v>
      </c>
      <c r="D9" s="8" t="str">
        <f>CONCATENATE('DEFAULT PROPERTIES and SETTINGS'!$D$4,"²/",'DEFAULT PROPERTIES and SETTINGS'!$D$5)</f>
        <v>Feet²/Day</v>
      </c>
      <c r="R9"/>
      <c r="S9">
        <f aca="true" t="shared" si="2" ref="S9:S72">S8*$R$5</f>
        <v>0.11220184543019632</v>
      </c>
      <c r="T9" s="105">
        <f t="shared" si="1"/>
        <v>34.319499879569534</v>
      </c>
      <c r="U9">
        <f t="shared" si="0"/>
        <v>1177.8280719837733</v>
      </c>
      <c r="W9">
        <f>DATA!I10</f>
        <v>250</v>
      </c>
      <c r="X9">
        <f>DATA!J10^0.5</f>
        <v>38.9</v>
      </c>
      <c r="Y9" s="105"/>
      <c r="AC9" s="10"/>
      <c r="AD9" s="10"/>
    </row>
    <row r="10" spans="2:30" ht="12.75">
      <c r="B10" s="8" t="s">
        <v>73</v>
      </c>
      <c r="C10" s="8">
        <f>VLOOKUP('DEFAULT PROPERTIES and SETTINGS'!$D$5,COMPUTATION!$D$1:$E$4,2,0)/VLOOKUP('DEFAULT PROPERTIES and SETTINGS'!$D$4,COMPUTATION!$B$1:$C$5,2,0)</f>
        <v>1</v>
      </c>
      <c r="D10" s="8" t="str">
        <f>CONCATENATE('DEFAULT PROPERTIES and SETTINGS'!$D$4,"/",'DEFAULT PROPERTIES and SETTINGS'!$D$5)</f>
        <v>Feet/Day</v>
      </c>
      <c r="R10"/>
      <c r="S10">
        <f t="shared" si="2"/>
        <v>0.11748975549395294</v>
      </c>
      <c r="T10" s="105">
        <f t="shared" si="1"/>
        <v>34.34810783474919</v>
      </c>
      <c r="U10">
        <f t="shared" si="0"/>
        <v>1179.7925118275589</v>
      </c>
      <c r="W10">
        <f>DATA!I11</f>
        <v>253</v>
      </c>
      <c r="X10">
        <f>DATA!J11^0.5</f>
        <v>38.78</v>
      </c>
      <c r="Y10" s="105"/>
      <c r="AC10" s="10"/>
      <c r="AD10" s="10"/>
    </row>
    <row r="11" spans="18:30" ht="12.75">
      <c r="R11"/>
      <c r="S11">
        <f t="shared" si="2"/>
        <v>0.12302687708123815</v>
      </c>
      <c r="T11" s="105">
        <f t="shared" si="1"/>
        <v>34.37669198266966</v>
      </c>
      <c r="U11">
        <f t="shared" si="0"/>
        <v>1181.7569516713447</v>
      </c>
      <c r="W11">
        <f>DATA!I12</f>
        <v>254</v>
      </c>
      <c r="X11">
        <f>DATA!J12^0.5</f>
        <v>38.93</v>
      </c>
      <c r="Y11" s="105"/>
      <c r="AC11" s="10"/>
      <c r="AD11" s="10"/>
    </row>
    <row r="12" spans="1:30" ht="12.75">
      <c r="A12" s="8" t="str">
        <f>OUTPUT!B5</f>
        <v>Casing dia. (dc)</v>
      </c>
      <c r="B12" s="8">
        <f>OUTPUT!C5</f>
        <v>6</v>
      </c>
      <c r="C12" s="8" t="str">
        <f>OUTPUT!D5</f>
        <v>Inch</v>
      </c>
      <c r="R12"/>
      <c r="S12">
        <f t="shared" si="2"/>
        <v>0.1288249551693134</v>
      </c>
      <c r="T12" s="105">
        <f t="shared" si="1"/>
        <v>34.4052523826687</v>
      </c>
      <c r="U12">
        <f t="shared" si="0"/>
        <v>1183.7213915151303</v>
      </c>
      <c r="W12">
        <f>DATA!I13</f>
        <v>254</v>
      </c>
      <c r="X12">
        <f>DATA!J13^0.5</f>
        <v>38.93</v>
      </c>
      <c r="Y12" s="105"/>
      <c r="AC12" s="10"/>
      <c r="AD12" s="10"/>
    </row>
    <row r="13" spans="1:30" ht="12.75">
      <c r="A13" s="8" t="str">
        <f>OUTPUT!B6</f>
        <v>Annulus dia. (dw)</v>
      </c>
      <c r="B13" s="8">
        <f>OUTPUT!C6</f>
        <v>6</v>
      </c>
      <c r="C13" s="8" t="str">
        <f>OUTPUT!D6</f>
        <v>Inch</v>
      </c>
      <c r="R13"/>
      <c r="S13">
        <f t="shared" si="2"/>
        <v>0.13489628825916536</v>
      </c>
      <c r="T13" s="105">
        <f t="shared" si="1"/>
        <v>34.433789093837994</v>
      </c>
      <c r="U13">
        <f t="shared" si="0"/>
        <v>1185.6858313589162</v>
      </c>
      <c r="W13">
        <f>DATA!I14</f>
        <v>254</v>
      </c>
      <c r="X13">
        <f>DATA!J14^0.5</f>
        <v>38.93</v>
      </c>
      <c r="Y13" s="105"/>
      <c r="AC13" s="10"/>
      <c r="AD13" s="10"/>
    </row>
    <row r="14" spans="1:30" ht="12.75">
      <c r="A14" s="8" t="str">
        <f>OUTPUT!B7</f>
        <v>Screen Length (L)</v>
      </c>
      <c r="B14" s="8">
        <f>OUTPUT!C7</f>
        <v>40</v>
      </c>
      <c r="C14" s="8" t="str">
        <f>OUTPUT!D7</f>
        <v>Feet</v>
      </c>
      <c r="R14"/>
      <c r="S14">
        <f t="shared" si="2"/>
        <v>0.14125375446227545</v>
      </c>
      <c r="T14" s="105">
        <f t="shared" si="1"/>
        <v>34.46230217502455</v>
      </c>
      <c r="U14">
        <f t="shared" si="0"/>
        <v>1187.6502712027018</v>
      </c>
      <c r="W14">
        <f>DATA!I15</f>
        <v>254</v>
      </c>
      <c r="X14">
        <f>DATA!J15^0.5</f>
        <v>38.93</v>
      </c>
      <c r="Y14" s="105"/>
      <c r="AC14" s="10"/>
      <c r="AD14" s="10"/>
    </row>
    <row r="15" spans="18:30" ht="12.75">
      <c r="R15"/>
      <c r="S15">
        <f t="shared" si="2"/>
        <v>0.14791083881682077</v>
      </c>
      <c r="T15" s="105">
        <f t="shared" si="1"/>
        <v>34.49079168483217</v>
      </c>
      <c r="U15">
        <f t="shared" si="0"/>
        <v>1189.6147110464876</v>
      </c>
      <c r="W15">
        <f>DATA!I16</f>
        <v>254</v>
      </c>
      <c r="X15">
        <f>DATA!J16^0.5</f>
        <v>38.93</v>
      </c>
      <c r="Y15" s="105"/>
      <c r="AC15" s="10"/>
      <c r="AD15" s="10"/>
    </row>
    <row r="16" spans="1:30" ht="12.75">
      <c r="A16" s="8" t="str">
        <f>OUTPUT!B8</f>
        <v>Depths to:</v>
      </c>
      <c r="R16"/>
      <c r="S16">
        <f t="shared" si="2"/>
        <v>0.15488166189124816</v>
      </c>
      <c r="T16" s="105">
        <f t="shared" si="1"/>
        <v>34.519257681622776</v>
      </c>
      <c r="U16">
        <f t="shared" si="0"/>
        <v>1191.5791508902732</v>
      </c>
      <c r="W16">
        <f>DATA!I17</f>
        <v>254</v>
      </c>
      <c r="X16">
        <f>DATA!J17^0.5</f>
        <v>38.93</v>
      </c>
      <c r="Y16" s="105"/>
      <c r="AC16" s="10"/>
      <c r="AD16" s="10"/>
    </row>
    <row r="17" spans="1:30" ht="12.75">
      <c r="A17" s="8" t="str">
        <f>OUTPUT!B9</f>
        <v>Initial Depth to Water</v>
      </c>
      <c r="B17" s="8">
        <f>OUTPUT!C9</f>
        <v>30</v>
      </c>
      <c r="C17" s="8" t="str">
        <f>OUTPUT!D9</f>
        <v>Feet</v>
      </c>
      <c r="R17"/>
      <c r="S17">
        <f t="shared" si="2"/>
        <v>0.16218100973589303</v>
      </c>
      <c r="T17" s="105">
        <f t="shared" si="1"/>
        <v>34.54770022351791</v>
      </c>
      <c r="U17">
        <f t="shared" si="0"/>
        <v>1193.543590734059</v>
      </c>
      <c r="W17">
        <f>DATA!I18</f>
        <v>254</v>
      </c>
      <c r="X17">
        <f>DATA!J18^0.5</f>
        <v>38.93</v>
      </c>
      <c r="Y17" s="105"/>
      <c r="AC17" s="10"/>
      <c r="AD17" s="10"/>
    </row>
    <row r="18" spans="1:30" ht="12.75">
      <c r="A18" s="8" t="str">
        <f>OUTPUT!B10</f>
        <v>Top of Aquifer </v>
      </c>
      <c r="B18" s="8">
        <f>OUTPUT!C10</f>
        <v>30</v>
      </c>
      <c r="C18" s="8" t="str">
        <f>OUTPUT!D10</f>
        <v>Feet</v>
      </c>
      <c r="R18"/>
      <c r="S18">
        <f t="shared" si="2"/>
        <v>0.16982436524617447</v>
      </c>
      <c r="T18" s="105">
        <f t="shared" si="1"/>
        <v>34.576119368399986</v>
      </c>
      <c r="U18">
        <f t="shared" si="0"/>
        <v>1195.5080305778447</v>
      </c>
      <c r="W18">
        <f>DATA!I19</f>
        <v>254</v>
      </c>
      <c r="X18">
        <f>DATA!J19^0.5</f>
        <v>38.93</v>
      </c>
      <c r="Y18" s="105"/>
      <c r="AC18" s="10"/>
      <c r="AD18" s="10"/>
    </row>
    <row r="19" spans="1:30" ht="12.75">
      <c r="A19" s="8" t="str">
        <f>OUTPUT!B11</f>
        <v>Base of Aquifer </v>
      </c>
      <c r="B19" s="8">
        <f>OUTPUT!C11</f>
        <v>70</v>
      </c>
      <c r="C19" s="8" t="str">
        <f>OUTPUT!D11</f>
        <v>Feet</v>
      </c>
      <c r="R19"/>
      <c r="S19">
        <f t="shared" si="2"/>
        <v>0.17782794100389232</v>
      </c>
      <c r="T19" s="105">
        <f t="shared" si="1"/>
        <v>34.6045151739138</v>
      </c>
      <c r="U19">
        <f t="shared" si="0"/>
        <v>1197.4724704216305</v>
      </c>
      <c r="W19">
        <f>DATA!I20</f>
        <v>254</v>
      </c>
      <c r="X19">
        <f>DATA!J20^0.5</f>
        <v>38.93</v>
      </c>
      <c r="Y19" s="105"/>
      <c r="AC19" s="10"/>
      <c r="AD19" s="10"/>
    </row>
    <row r="20" spans="1:30" ht="12.75">
      <c r="A20" s="8" t="str">
        <f>OUTPUT!B12</f>
        <v>Annular Fill:</v>
      </c>
      <c r="R20"/>
      <c r="S20">
        <f t="shared" si="2"/>
        <v>0.1862087136662868</v>
      </c>
      <c r="T20" s="105">
        <f t="shared" si="1"/>
        <v>34.632887697467794</v>
      </c>
      <c r="U20">
        <f t="shared" si="0"/>
        <v>1199.4369102654161</v>
      </c>
      <c r="W20">
        <f>DATA!I21</f>
        <v>254</v>
      </c>
      <c r="X20">
        <f>DATA!J21^0.5</f>
        <v>38.93</v>
      </c>
      <c r="Y20" s="105"/>
      <c r="AC20" s="10"/>
      <c r="AD20" s="10"/>
    </row>
    <row r="21" spans="1:30" ht="12.75">
      <c r="A21" s="8" t="str">
        <f>OUTPUT!B13</f>
        <v>across  screen --</v>
      </c>
      <c r="B21" s="8" t="str">
        <f>OUTPUT!C13</f>
        <v>Coarse Sand</v>
      </c>
      <c r="R21"/>
      <c r="S21">
        <f t="shared" si="2"/>
        <v>0.1949844599758046</v>
      </c>
      <c r="T21" s="105">
        <f t="shared" si="1"/>
        <v>34.661236996235466</v>
      </c>
      <c r="U21">
        <f t="shared" si="0"/>
        <v>1201.401350109202</v>
      </c>
      <c r="W21">
        <f>DATA!I22</f>
        <v>254</v>
      </c>
      <c r="X21">
        <f>DATA!J22^0.5</f>
        <v>38.93</v>
      </c>
      <c r="Y21" s="105"/>
      <c r="AC21" s="10"/>
      <c r="AD21" s="10"/>
    </row>
    <row r="22" spans="1:30" ht="12.75">
      <c r="A22" s="8" t="str">
        <f>OUTPUT!B14</f>
        <v>above screen --</v>
      </c>
      <c r="B22" s="8" t="str">
        <f>OUTPUT!C14</f>
        <v>Cement</v>
      </c>
      <c r="R22"/>
      <c r="S22">
        <f t="shared" si="2"/>
        <v>0.20417379446695302</v>
      </c>
      <c r="T22" s="105">
        <f t="shared" si="1"/>
        <v>34.68956312715667</v>
      </c>
      <c r="U22">
        <f t="shared" si="0"/>
        <v>1203.3657899529876</v>
      </c>
      <c r="W22">
        <f>DATA!I23</f>
        <v>254</v>
      </c>
      <c r="X22">
        <f>DATA!J23^0.5</f>
        <v>38.93</v>
      </c>
      <c r="Y22" s="105"/>
      <c r="AC22" s="10"/>
      <c r="AD22" s="10"/>
    </row>
    <row r="23" spans="1:30" ht="12.75">
      <c r="A23" s="8" t="str">
        <f>OUTPUT!B15</f>
        <v>Aquifer Material --</v>
      </c>
      <c r="B23" s="8" t="str">
        <f>OUTPUT!C15</f>
        <v>Coarse Sand</v>
      </c>
      <c r="R23"/>
      <c r="S23">
        <f t="shared" si="2"/>
        <v>0.21379620895022333</v>
      </c>
      <c r="T23" s="105">
        <f t="shared" si="1"/>
        <v>34.717866146939</v>
      </c>
      <c r="U23">
        <f t="shared" si="0"/>
        <v>1205.3302297967734</v>
      </c>
      <c r="W23">
        <f>DATA!I24</f>
        <v>254</v>
      </c>
      <c r="X23">
        <f>DATA!J24^0.5</f>
        <v>38.93</v>
      </c>
      <c r="Y23" s="105"/>
      <c r="AC23" s="10"/>
      <c r="AD23" s="10"/>
    </row>
    <row r="24" spans="18:30" ht="12.75">
      <c r="R24"/>
      <c r="S24">
        <f t="shared" si="2"/>
        <v>0.22387211385683412</v>
      </c>
      <c r="T24" s="105">
        <f t="shared" si="1"/>
        <v>34.746146112059094</v>
      </c>
      <c r="U24">
        <f t="shared" si="0"/>
        <v>1207.294669640559</v>
      </c>
      <c r="W24">
        <f>DATA!I25</f>
        <v>254</v>
      </c>
      <c r="X24">
        <f>DATA!J25^0.5</f>
        <v>38.93</v>
      </c>
      <c r="Y24" s="105"/>
      <c r="AC24" s="10"/>
      <c r="AD24" s="10"/>
    </row>
    <row r="25" spans="1:30" ht="12.75">
      <c r="A25" s="8" t="s">
        <v>90</v>
      </c>
      <c r="B25" s="2">
        <f>IF(B17&gt;B18,B18+B14-B17,B14)</f>
        <v>40</v>
      </c>
      <c r="C25" s="8" t="str">
        <f>C17</f>
        <v>Feet</v>
      </c>
      <c r="H25" s="37"/>
      <c r="I25" s="37"/>
      <c r="J25" s="37"/>
      <c r="K25" s="37"/>
      <c r="L25" s="37"/>
      <c r="R25"/>
      <c r="S25">
        <f t="shared" si="2"/>
        <v>0.2344228815319924</v>
      </c>
      <c r="T25" s="105">
        <f t="shared" si="1"/>
        <v>34.77440307876391</v>
      </c>
      <c r="U25">
        <f t="shared" si="0"/>
        <v>1209.259109484345</v>
      </c>
      <c r="W25">
        <f>DATA!I26</f>
        <v>254</v>
      </c>
      <c r="X25">
        <f>DATA!J26^0.5</f>
        <v>38.93</v>
      </c>
      <c r="Y25" s="105"/>
      <c r="AC25" s="10"/>
      <c r="AD25" s="10"/>
    </row>
    <row r="26" spans="1:30" ht="12.75">
      <c r="A26" s="8" t="s">
        <v>81</v>
      </c>
      <c r="B26" s="2">
        <f>IF(B18&gt;B17,B19-B18,B19-B17)</f>
        <v>40</v>
      </c>
      <c r="C26" s="8" t="str">
        <f>C25</f>
        <v>Feet</v>
      </c>
      <c r="H26" s="37"/>
      <c r="I26" s="40"/>
      <c r="J26" s="37"/>
      <c r="K26" s="37"/>
      <c r="L26" s="37"/>
      <c r="R26"/>
      <c r="S26">
        <f t="shared" si="2"/>
        <v>0.24547089156850324</v>
      </c>
      <c r="T26" s="105">
        <f t="shared" si="1"/>
        <v>34.802637103072094</v>
      </c>
      <c r="U26">
        <f t="shared" si="0"/>
        <v>1211.2235493281305</v>
      </c>
      <c r="W26">
        <f>DATA!I27</f>
        <v>254</v>
      </c>
      <c r="X26">
        <f>DATA!J27^0.5</f>
        <v>38.93</v>
      </c>
      <c r="Y26" s="105"/>
      <c r="AC26" s="10"/>
      <c r="AD26" s="10"/>
    </row>
    <row r="27" spans="1:30" ht="12.75">
      <c r="A27" s="8" t="str">
        <f>A26</f>
        <v>Aquifer thickness = </v>
      </c>
      <c r="B27" s="2">
        <f>B26*VLOOKUP(C25,$B$1:$C$6,2,0)</f>
        <v>40</v>
      </c>
      <c r="C27" s="8" t="s">
        <v>95</v>
      </c>
      <c r="H27" s="37"/>
      <c r="I27" s="40"/>
      <c r="J27" s="37"/>
      <c r="K27" s="37"/>
      <c r="L27" s="37"/>
      <c r="R27"/>
      <c r="S27">
        <f t="shared" si="2"/>
        <v>0.2570395782768866</v>
      </c>
      <c r="T27" s="105">
        <f t="shared" si="1"/>
        <v>34.83084824077525</v>
      </c>
      <c r="U27">
        <f t="shared" si="0"/>
        <v>1213.1879891719163</v>
      </c>
      <c r="W27"/>
      <c r="X27"/>
      <c r="Y27" s="105"/>
      <c r="AC27" s="10"/>
      <c r="AD27" s="10"/>
    </row>
    <row r="28" spans="1:30" ht="12.75">
      <c r="A28" s="8" t="str">
        <f>A26</f>
        <v>Aquifer thickness = </v>
      </c>
      <c r="B28" s="8">
        <f>B27/VLOOKUP(C28,$B$1:$C$6,2,0)</f>
        <v>40</v>
      </c>
      <c r="C28" s="8" t="str">
        <f>'DEFAULT PROPERTIES and SETTINGS'!D4</f>
        <v>Feet</v>
      </c>
      <c r="D28" s="15">
        <f>10^(INT(LOG(B28))+1-'DEFAULT PROPERTIES and SETTINGS'!$D$2)</f>
        <v>1</v>
      </c>
      <c r="H28" s="37"/>
      <c r="I28" s="37"/>
      <c r="J28" s="37"/>
      <c r="K28" s="37"/>
      <c r="L28" s="37"/>
      <c r="R28"/>
      <c r="S28">
        <f t="shared" si="2"/>
        <v>0.2691534803926918</v>
      </c>
      <c r="T28" s="105">
        <f t="shared" si="1"/>
        <v>34.8590365474392</v>
      </c>
      <c r="U28">
        <f t="shared" si="0"/>
        <v>1215.152429015702</v>
      </c>
      <c r="W28"/>
      <c r="X28"/>
      <c r="Y28" s="105"/>
      <c r="AC28" s="10"/>
      <c r="AD28" s="10"/>
    </row>
    <row r="29" spans="1:30" ht="12.75">
      <c r="A29" s="8" t="str">
        <f>A28</f>
        <v>Aquifer thickness = </v>
      </c>
      <c r="B29" s="8">
        <f>D29*D28</f>
        <v>40</v>
      </c>
      <c r="C29" s="8" t="str">
        <f>C28</f>
        <v>Feet</v>
      </c>
      <c r="D29" s="16">
        <f>INT(B28/D28+0.5)</f>
        <v>40</v>
      </c>
      <c r="H29" s="37"/>
      <c r="I29" s="37"/>
      <c r="J29" s="37"/>
      <c r="K29" s="37"/>
      <c r="L29" s="37"/>
      <c r="R29"/>
      <c r="S29">
        <f t="shared" si="2"/>
        <v>0.28183829312644565</v>
      </c>
      <c r="T29" s="105">
        <f t="shared" si="1"/>
        <v>34.88720207840531</v>
      </c>
      <c r="U29">
        <f t="shared" si="0"/>
        <v>1217.1168688594878</v>
      </c>
      <c r="W29"/>
      <c r="X29"/>
      <c r="Y29" s="105"/>
      <c r="AC29" s="10"/>
      <c r="AD29" s="10"/>
    </row>
    <row r="30" spans="2:30" ht="15">
      <c r="B30" s="4"/>
      <c r="H30" s="29"/>
      <c r="I30" s="32"/>
      <c r="J30" s="29"/>
      <c r="K30" s="37"/>
      <c r="L30" s="37"/>
      <c r="R30"/>
      <c r="S30">
        <f t="shared" si="2"/>
        <v>0.29512092266663886</v>
      </c>
      <c r="T30" s="105">
        <f t="shared" si="1"/>
        <v>34.91534488879171</v>
      </c>
      <c r="U30">
        <f t="shared" si="0"/>
        <v>1219.0813087032734</v>
      </c>
      <c r="W30"/>
      <c r="X30"/>
      <c r="Y30" s="105"/>
      <c r="AC30" s="10"/>
      <c r="AD30" s="10"/>
    </row>
    <row r="31" spans="1:30" ht="12.75">
      <c r="A31" s="7" t="s">
        <v>128</v>
      </c>
      <c r="B31" s="8" t="str">
        <f>IF(B17&gt;=B18,"UNCONFINED","CONFINED")</f>
        <v>UNCONFINED</v>
      </c>
      <c r="H31" s="30"/>
      <c r="I31" s="29"/>
      <c r="J31" s="29"/>
      <c r="K31" s="37"/>
      <c r="L31" s="37"/>
      <c r="R31"/>
      <c r="S31">
        <f t="shared" si="2"/>
        <v>0.3090295432513594</v>
      </c>
      <c r="T31" s="105">
        <f t="shared" si="1"/>
        <v>34.94346503349459</v>
      </c>
      <c r="U31">
        <f t="shared" si="0"/>
        <v>1221.0457485470592</v>
      </c>
      <c r="W31"/>
      <c r="X31"/>
      <c r="Y31" s="105"/>
      <c r="AC31" s="10"/>
      <c r="AD31" s="10"/>
    </row>
    <row r="32" spans="8:30" ht="12.75">
      <c r="H32" s="30"/>
      <c r="I32" s="29"/>
      <c r="J32" s="29"/>
      <c r="K32" s="37"/>
      <c r="L32" s="37"/>
      <c r="R32"/>
      <c r="S32">
        <f t="shared" si="2"/>
        <v>0.32359365692962866</v>
      </c>
      <c r="T32" s="105">
        <f t="shared" si="1"/>
        <v>34.97156256718943</v>
      </c>
      <c r="U32">
        <f t="shared" si="0"/>
        <v>1223.0101883908449</v>
      </c>
      <c r="W32"/>
      <c r="X32"/>
      <c r="Y32" s="105"/>
      <c r="AC32" s="10"/>
      <c r="AD32" s="10"/>
    </row>
    <row r="33" spans="8:30" ht="12.75">
      <c r="H33" s="30"/>
      <c r="I33" s="29"/>
      <c r="J33" s="29"/>
      <c r="K33" s="37"/>
      <c r="L33" s="37"/>
      <c r="R33"/>
      <c r="S33">
        <f t="shared" si="2"/>
        <v>0.338844156139203</v>
      </c>
      <c r="T33" s="105">
        <f t="shared" si="1"/>
        <v>34.99963754433224</v>
      </c>
      <c r="U33">
        <f t="shared" si="0"/>
        <v>1224.9746282346307</v>
      </c>
      <c r="W33"/>
      <c r="X33"/>
      <c r="Y33" s="105"/>
      <c r="AC33" s="10"/>
      <c r="AD33" s="10"/>
    </row>
    <row r="34" spans="2:25" ht="12.75">
      <c r="B34" s="8" t="s">
        <v>142</v>
      </c>
      <c r="C34" s="8" t="s">
        <v>143</v>
      </c>
      <c r="E34" s="100"/>
      <c r="F34" s="100"/>
      <c r="H34" s="37"/>
      <c r="I34" s="37"/>
      <c r="J34" s="37"/>
      <c r="K34" s="37"/>
      <c r="L34" s="37"/>
      <c r="R34"/>
      <c r="S34">
        <f t="shared" si="2"/>
        <v>0.35481338923357597</v>
      </c>
      <c r="T34" s="105">
        <f t="shared" si="1"/>
        <v>35.02769001916079</v>
      </c>
      <c r="U34">
        <f t="shared" si="0"/>
        <v>1226.9390680784163</v>
      </c>
      <c r="W34"/>
      <c r="X34"/>
      <c r="Y34" s="105"/>
    </row>
    <row r="35" spans="1:25" ht="12.75">
      <c r="A35" s="41" t="s">
        <v>13</v>
      </c>
      <c r="B35" s="99">
        <v>0.2</v>
      </c>
      <c r="C35" s="41">
        <v>1202.4847382571572</v>
      </c>
      <c r="H35" s="30"/>
      <c r="I35" s="31"/>
      <c r="J35" s="29"/>
      <c r="K35" s="37"/>
      <c r="L35" s="37"/>
      <c r="R35"/>
      <c r="S35">
        <f t="shared" si="2"/>
        <v>0.3715352290971731</v>
      </c>
      <c r="T35" s="105">
        <f t="shared" si="1"/>
        <v>35.05572004569586</v>
      </c>
      <c r="U35">
        <f t="shared" si="0"/>
        <v>1228.9035079222022</v>
      </c>
      <c r="W35"/>
      <c r="X35"/>
      <c r="Y35" s="105"/>
    </row>
    <row r="36" spans="2:25" ht="12.75">
      <c r="B36" s="99">
        <v>500</v>
      </c>
      <c r="C36" s="41">
        <v>1536.2371752486047</v>
      </c>
      <c r="H36" s="30"/>
      <c r="I36" s="31"/>
      <c r="J36" s="29"/>
      <c r="K36" s="37"/>
      <c r="L36" s="37"/>
      <c r="R36"/>
      <c r="S36">
        <f t="shared" si="2"/>
        <v>0.3890451449942812</v>
      </c>
      <c r="T36" s="105">
        <f t="shared" si="1"/>
        <v>35.083727677742395</v>
      </c>
      <c r="U36">
        <f t="shared" si="0"/>
        <v>1230.8679477659878</v>
      </c>
      <c r="W36"/>
      <c r="X36"/>
      <c r="Y36" s="105"/>
    </row>
    <row r="37" spans="11:25" ht="12.75">
      <c r="K37" s="37"/>
      <c r="L37" s="37"/>
      <c r="R37"/>
      <c r="S37">
        <f t="shared" si="2"/>
        <v>0.4073802778041134</v>
      </c>
      <c r="T37" s="105">
        <f t="shared" si="1"/>
        <v>35.111712968890785</v>
      </c>
      <c r="U37">
        <f t="shared" si="0"/>
        <v>1232.8323876097734</v>
      </c>
      <c r="W37"/>
      <c r="X37"/>
      <c r="Y37" s="105"/>
    </row>
    <row r="38" spans="1:25" ht="12.75">
      <c r="A38" s="8" t="s">
        <v>77</v>
      </c>
      <c r="B38" s="10">
        <f>OUTPUT!C16</f>
        <v>167</v>
      </c>
      <c r="C38" s="10" t="str">
        <f>OUTPUT!D16</f>
        <v>GPM</v>
      </c>
      <c r="R38"/>
      <c r="S38">
        <f t="shared" si="2"/>
        <v>0.4265795188015934</v>
      </c>
      <c r="T38" s="105">
        <f t="shared" si="1"/>
        <v>35.139675972518006</v>
      </c>
      <c r="U38">
        <f t="shared" si="0"/>
        <v>1234.7968274535592</v>
      </c>
      <c r="W38"/>
      <c r="X38"/>
      <c r="Y38" s="105"/>
    </row>
    <row r="39" spans="1:25" ht="14.25">
      <c r="A39" s="8" t="s">
        <v>77</v>
      </c>
      <c r="B39" s="8">
        <f>B38*VLOOKUP(C38,COMPUTATION!$H$1:$I$8,2,0)</f>
        <v>32149.732620320854</v>
      </c>
      <c r="C39" s="8" t="s">
        <v>78</v>
      </c>
      <c r="R39"/>
      <c r="S39">
        <f t="shared" si="2"/>
        <v>0.4466835921509639</v>
      </c>
      <c r="T39" s="105">
        <f t="shared" si="1"/>
        <v>35.16761674178882</v>
      </c>
      <c r="U39">
        <f aca="true" t="shared" si="3" ref="U39:U70">LOG(S39)*$H$45+$H$47</f>
        <v>1236.761267297345</v>
      </c>
      <c r="W39"/>
      <c r="X39"/>
      <c r="Y39" s="105"/>
    </row>
    <row r="40" spans="2:25" ht="12.75">
      <c r="B40" s="7"/>
      <c r="C40" s="4"/>
      <c r="G40" s="8" t="str">
        <f>DATA!J7</f>
        <v>Feet</v>
      </c>
      <c r="R40"/>
      <c r="S40">
        <f t="shared" si="2"/>
        <v>0.46773514128719906</v>
      </c>
      <c r="T40" s="105">
        <f t="shared" si="1"/>
        <v>35.19553532965695</v>
      </c>
      <c r="U40">
        <f t="shared" si="3"/>
        <v>1238.7257071411307</v>
      </c>
      <c r="W40"/>
      <c r="X40"/>
      <c r="Y40" s="105"/>
    </row>
    <row r="41" spans="1:25" ht="12.75">
      <c r="A41" s="8" t="s">
        <v>14</v>
      </c>
      <c r="B41" s="8">
        <f>B12*0.5*VLOOKUP(C12,$B$1:$C$5,2,0)</f>
        <v>0.25</v>
      </c>
      <c r="C41" s="8" t="s">
        <v>15</v>
      </c>
      <c r="G41" s="8">
        <f>VLOOKUP(G40,$B$1:$C$6,2,0)</f>
        <v>1</v>
      </c>
      <c r="R41"/>
      <c r="S41">
        <f t="shared" si="2"/>
        <v>0.48977881936844714</v>
      </c>
      <c r="T41" s="105">
        <f t="shared" si="1"/>
        <v>35.22343178886629</v>
      </c>
      <c r="U41">
        <f t="shared" si="3"/>
        <v>1240.6901469849163</v>
      </c>
      <c r="W41"/>
      <c r="X41"/>
      <c r="Y41" s="105"/>
    </row>
    <row r="42" spans="1:25" ht="12.75">
      <c r="A42" s="8" t="s">
        <v>16</v>
      </c>
      <c r="B42" s="8">
        <f>B13*0.5*VLOOKUP(C13,$B$1:$C$5,2,0)</f>
        <v>0.25</v>
      </c>
      <c r="C42" s="8" t="s">
        <v>15</v>
      </c>
      <c r="G42" s="8" t="s">
        <v>144</v>
      </c>
      <c r="H42" s="8" t="s">
        <v>141</v>
      </c>
      <c r="R42"/>
      <c r="S42">
        <f t="shared" si="2"/>
        <v>0.5128613839913658</v>
      </c>
      <c r="T42" s="105">
        <f t="shared" si="1"/>
        <v>35.25130617195202</v>
      </c>
      <c r="U42">
        <f t="shared" si="3"/>
        <v>1242.6545868287021</v>
      </c>
      <c r="W42"/>
      <c r="X42"/>
      <c r="Y42" s="105"/>
    </row>
    <row r="43" spans="18:25" ht="12.75">
      <c r="R43"/>
      <c r="S43">
        <f t="shared" si="2"/>
        <v>0.5370317963702538</v>
      </c>
      <c r="T43" s="105">
        <f t="shared" si="1"/>
        <v>35.279158531241755</v>
      </c>
      <c r="U43">
        <f t="shared" si="3"/>
        <v>1244.6190266724877</v>
      </c>
      <c r="W43"/>
      <c r="X43"/>
      <c r="Y43" s="105"/>
    </row>
    <row r="44" spans="1:25" ht="15.75">
      <c r="A44" s="3" t="s">
        <v>18</v>
      </c>
      <c r="B44" s="2">
        <f>(C35-C36)/LOG(B35/B36)</f>
        <v>98.22199218928606</v>
      </c>
      <c r="C44" s="2" t="str">
        <f>CONCATENATE(G40,"/log10")</f>
        <v>Feet/log10</v>
      </c>
      <c r="F44" s="8" t="s">
        <v>145</v>
      </c>
      <c r="G44" s="8">
        <f>B44*$G$41</f>
        <v>98.22199218928606</v>
      </c>
      <c r="H44" s="8">
        <f>G44*G41</f>
        <v>98.22199218928606</v>
      </c>
      <c r="I44" s="2" t="s">
        <v>79</v>
      </c>
      <c r="R44"/>
      <c r="S44">
        <f t="shared" si="2"/>
        <v>0.5623413251903502</v>
      </c>
      <c r="T44" s="105">
        <f t="shared" si="1"/>
        <v>35.30698891885675</v>
      </c>
      <c r="U44">
        <f t="shared" si="3"/>
        <v>1246.5834665162736</v>
      </c>
      <c r="W44"/>
      <c r="X44"/>
      <c r="Y44" s="105"/>
    </row>
    <row r="45" spans="2:25" ht="12.75">
      <c r="B45" s="103">
        <f>IF($B$31=$H$42,H45,G45)</f>
        <v>98.22199218928606</v>
      </c>
      <c r="G45" s="8">
        <f>G44/VLOOKUP('DEFAULT PROPERTIES and SETTINGS'!$D$4,COMPUTATION!$B$1:$C$6,2,0)</f>
        <v>98.22199218928606</v>
      </c>
      <c r="H45" s="8">
        <f>H44/VLOOKUP('DEFAULT PROPERTIES and SETTINGS'!$D$4,COMPUTATION!$B$1:$C$6,2,0)^2</f>
        <v>98.22199218928606</v>
      </c>
      <c r="R45"/>
      <c r="S45">
        <f t="shared" si="2"/>
        <v>0.5888436553555901</v>
      </c>
      <c r="T45" s="105">
        <f t="shared" si="1"/>
        <v>35.33479738671299</v>
      </c>
      <c r="U45">
        <f t="shared" si="3"/>
        <v>1248.5479063600592</v>
      </c>
      <c r="W45"/>
      <c r="X45"/>
      <c r="Y45" s="105"/>
    </row>
    <row r="46" spans="2:25" ht="12.75">
      <c r="B46" s="33" t="str">
        <f>IF($B$31=$H$42,H46,G46)</f>
        <v>Feet²/log10</v>
      </c>
      <c r="G46" s="8" t="str">
        <f>CONCATENATE('DEFAULT PROPERTIES and SETTINGS'!$D$4,"/log10")</f>
        <v>Feet/log10</v>
      </c>
      <c r="H46" s="8" t="str">
        <f>CONCATENATE('DEFAULT PROPERTIES and SETTINGS'!$D$4,"²/log10")</f>
        <v>Feet²/log10</v>
      </c>
      <c r="R46"/>
      <c r="S46">
        <f t="shared" si="2"/>
        <v>0.6165950018614834</v>
      </c>
      <c r="T46" s="105">
        <f t="shared" si="1"/>
        <v>35.362583986522324</v>
      </c>
      <c r="U46">
        <f t="shared" si="3"/>
        <v>1250.512346203845</v>
      </c>
      <c r="W46"/>
      <c r="X46"/>
      <c r="Y46" s="105"/>
    </row>
    <row r="47" spans="6:25" ht="12.75">
      <c r="F47" s="8" t="s">
        <v>152</v>
      </c>
      <c r="G47" s="8">
        <f>$C$35-LOG($B$35)*G45</f>
        <v>1271.138964563595</v>
      </c>
      <c r="H47" s="8">
        <f>$C$35-LOG($B$35)*H45</f>
        <v>1271.138964563595</v>
      </c>
      <c r="R47"/>
      <c r="S47">
        <f t="shared" si="2"/>
        <v>0.6456542290346569</v>
      </c>
      <c r="T47" s="105">
        <f t="shared" si="1"/>
        <v>35.39034876979359</v>
      </c>
      <c r="U47">
        <f t="shared" si="3"/>
        <v>1252.4767860476306</v>
      </c>
      <c r="W47"/>
      <c r="X47"/>
      <c r="Y47" s="105"/>
    </row>
    <row r="48" spans="18:25" ht="12.75">
      <c r="R48"/>
      <c r="S48">
        <f t="shared" si="2"/>
        <v>0.6760829753919833</v>
      </c>
      <c r="T48" s="105">
        <f t="shared" si="1"/>
        <v>35.41809178783375</v>
      </c>
      <c r="U48">
        <f t="shared" si="3"/>
        <v>1254.4412258914165</v>
      </c>
      <c r="W48"/>
      <c r="X48"/>
      <c r="Y48" s="105"/>
    </row>
    <row r="49" spans="1:25" ht="12.75">
      <c r="A49" s="3" t="s">
        <v>167</v>
      </c>
      <c r="B49" s="33">
        <f>IF($B$31=$H$42,H49,G49)</f>
        <v>1</v>
      </c>
      <c r="C49" s="2"/>
      <c r="G49" s="8">
        <v>-1</v>
      </c>
      <c r="H49" s="8">
        <v>1</v>
      </c>
      <c r="R49"/>
      <c r="S49">
        <f t="shared" si="2"/>
        <v>0.7079457843841395</v>
      </c>
      <c r="T49" s="105">
        <f t="shared" si="1"/>
        <v>35.44581309174896</v>
      </c>
      <c r="U49">
        <f t="shared" si="3"/>
        <v>1256.405665735202</v>
      </c>
      <c r="W49"/>
      <c r="X49"/>
      <c r="Y49" s="105"/>
    </row>
    <row r="50" spans="18:25" ht="12.75">
      <c r="R50"/>
      <c r="S50">
        <f t="shared" si="2"/>
        <v>0.7413102413009192</v>
      </c>
      <c r="T50" s="105">
        <f t="shared" si="1"/>
        <v>35.47351273244571</v>
      </c>
      <c r="U50">
        <f t="shared" si="3"/>
        <v>1258.370105578988</v>
      </c>
      <c r="W50"/>
      <c r="X50"/>
      <c r="Y50" s="105"/>
    </row>
    <row r="51" spans="1:25" ht="12.75">
      <c r="A51" s="3" t="s">
        <v>91</v>
      </c>
      <c r="B51" s="33">
        <f>IF($B$31=$H$42,H51,G51)</f>
        <v>9597.821827749798</v>
      </c>
      <c r="C51" s="2" t="s">
        <v>92</v>
      </c>
      <c r="D51" s="15"/>
      <c r="G51" s="8">
        <f>-2.303*$B$39/2/PI()/G44</f>
        <v>-119.97277284687247</v>
      </c>
      <c r="H51" s="8">
        <f>H55*B27</f>
        <v>9597.821827749798</v>
      </c>
      <c r="I51" s="8" t="s">
        <v>92</v>
      </c>
      <c r="R51"/>
      <c r="S51">
        <f t="shared" si="2"/>
        <v>0.7762471166286935</v>
      </c>
      <c r="T51" s="105">
        <f t="shared" si="1"/>
        <v>35.50119076063187</v>
      </c>
      <c r="U51">
        <f t="shared" si="3"/>
        <v>1260.3345454227735</v>
      </c>
      <c r="W51"/>
      <c r="X51"/>
      <c r="Y51" s="105"/>
    </row>
    <row r="52" spans="2:25" ht="12.75">
      <c r="B52" s="8">
        <f>B51*$C$9</f>
        <v>9597.821827749798</v>
      </c>
      <c r="C52" s="8" t="str">
        <f>D9</f>
        <v>Feet²/Day</v>
      </c>
      <c r="D52" s="15">
        <f>10^(INT(LOG(B52))+1-'DEFAULT PROPERTIES and SETTINGS'!$D$2)</f>
        <v>100</v>
      </c>
      <c r="R52"/>
      <c r="S52">
        <f t="shared" si="2"/>
        <v>0.8128305161641012</v>
      </c>
      <c r="T52" s="105">
        <f t="shared" si="1"/>
        <v>35.52884722681781</v>
      </c>
      <c r="U52">
        <f t="shared" si="3"/>
        <v>1262.2989852665594</v>
      </c>
      <c r="W52"/>
      <c r="X52"/>
      <c r="Y52" s="105"/>
    </row>
    <row r="53" spans="2:25" ht="12.75">
      <c r="B53" s="8">
        <f>D53*D52</f>
        <v>9600</v>
      </c>
      <c r="C53" s="8" t="str">
        <f>C52</f>
        <v>Feet²/Day</v>
      </c>
      <c r="D53" s="16">
        <f>INT(B52/D52+0.5)</f>
        <v>96</v>
      </c>
      <c r="R53"/>
      <c r="S53">
        <f t="shared" si="2"/>
        <v>0.8511380382023785</v>
      </c>
      <c r="T53" s="105">
        <f t="shared" si="1"/>
        <v>35.55648218131744</v>
      </c>
      <c r="U53">
        <f t="shared" si="3"/>
        <v>1264.263425110345</v>
      </c>
      <c r="W53"/>
      <c r="X53"/>
      <c r="Y53" s="105"/>
    </row>
    <row r="54" spans="1:25" ht="12.75">
      <c r="A54" s="3"/>
      <c r="B54" s="2"/>
      <c r="R54"/>
      <c r="S54">
        <f t="shared" si="2"/>
        <v>0.8912509381337478</v>
      </c>
      <c r="T54" s="105">
        <f t="shared" si="1"/>
        <v>35.58409567424934</v>
      </c>
      <c r="U54">
        <f t="shared" si="3"/>
        <v>1266.2278649541308</v>
      </c>
      <c r="W54"/>
      <c r="X54"/>
      <c r="Y54" s="105"/>
    </row>
    <row r="55" spans="1:25" ht="12.75">
      <c r="A55" s="3" t="s">
        <v>17</v>
      </c>
      <c r="B55" s="33">
        <f>IF($B$31=$H$42,H55,G55)</f>
        <v>239.94554569374495</v>
      </c>
      <c r="C55" s="8" t="s">
        <v>20</v>
      </c>
      <c r="D55" s="15"/>
      <c r="F55" s="2"/>
      <c r="G55" s="8">
        <f>G51/$B$27</f>
        <v>-2.9993193211718117</v>
      </c>
      <c r="H55" s="8">
        <f>2.303*B39/PI()/H44</f>
        <v>239.94554569374495</v>
      </c>
      <c r="I55" s="8" t="s">
        <v>20</v>
      </c>
      <c r="R55"/>
      <c r="S55">
        <f t="shared" si="2"/>
        <v>0.9332543007969935</v>
      </c>
      <c r="T55" s="105">
        <f t="shared" si="1"/>
        <v>35.61168775553774</v>
      </c>
      <c r="U55">
        <f t="shared" si="3"/>
        <v>1268.1923047979164</v>
      </c>
      <c r="W55"/>
      <c r="X55"/>
      <c r="Y55" s="105"/>
    </row>
    <row r="56" spans="2:25" ht="12.75">
      <c r="B56" s="8">
        <f>B55*$C$10</f>
        <v>239.94554569374495</v>
      </c>
      <c r="C56" s="8" t="str">
        <f>$D$10</f>
        <v>Feet/Day</v>
      </c>
      <c r="D56" s="15">
        <f>10^(INT(LOG(B56))+1-'DEFAULT PROPERTIES and SETTINGS'!$D$2)</f>
        <v>10</v>
      </c>
      <c r="R56"/>
      <c r="S56">
        <f t="shared" si="2"/>
        <v>0.9772372209558132</v>
      </c>
      <c r="T56" s="105">
        <f t="shared" si="1"/>
        <v>35.63925847491362</v>
      </c>
      <c r="U56">
        <f t="shared" si="3"/>
        <v>1270.1567446417023</v>
      </c>
      <c r="W56"/>
      <c r="X56"/>
      <c r="Y56" s="105"/>
    </row>
    <row r="57" spans="1:25" ht="12.75">
      <c r="A57" s="3" t="s">
        <v>17</v>
      </c>
      <c r="B57" s="8">
        <f>D57*D56</f>
        <v>240</v>
      </c>
      <c r="C57" s="8" t="str">
        <f>C56</f>
        <v>Feet/Day</v>
      </c>
      <c r="D57" s="16">
        <f>INT(B56/D56+0.5)</f>
        <v>24</v>
      </c>
      <c r="R57"/>
      <c r="S57">
        <f t="shared" si="2"/>
        <v>1.0232929922807568</v>
      </c>
      <c r="T57" s="105">
        <f t="shared" si="1"/>
        <v>35.66680788191576</v>
      </c>
      <c r="U57">
        <f t="shared" si="3"/>
        <v>1272.121184485488</v>
      </c>
      <c r="W57"/>
      <c r="X57"/>
      <c r="Y57" s="105"/>
    </row>
    <row r="58" spans="18:25" ht="12.75">
      <c r="R58"/>
      <c r="S58">
        <f t="shared" si="2"/>
        <v>1.0715193052376093</v>
      </c>
      <c r="T58" s="105">
        <f t="shared" si="1"/>
        <v>35.69433602589175</v>
      </c>
      <c r="U58">
        <f t="shared" si="3"/>
        <v>1274.0856243292737</v>
      </c>
      <c r="W58"/>
      <c r="X58"/>
      <c r="Y58" s="105"/>
    </row>
    <row r="59" spans="18:25" ht="12.75">
      <c r="R59"/>
      <c r="S59">
        <f t="shared" si="2"/>
        <v>1.1220184543019665</v>
      </c>
      <c r="T59" s="105">
        <f t="shared" si="1"/>
        <v>35.72184295599906</v>
      </c>
      <c r="U59">
        <f t="shared" si="3"/>
        <v>1276.0500641730594</v>
      </c>
      <c r="W59"/>
      <c r="X59"/>
      <c r="Y59" s="105"/>
    </row>
    <row r="60" spans="18:25" ht="12.75">
      <c r="R60"/>
      <c r="S60">
        <f t="shared" si="2"/>
        <v>1.1748975549395329</v>
      </c>
      <c r="T60" s="105">
        <f t="shared" si="1"/>
        <v>35.74932872120601</v>
      </c>
      <c r="U60">
        <f t="shared" si="3"/>
        <v>1278.0145040168452</v>
      </c>
      <c r="W60"/>
      <c r="X60"/>
      <c r="Y60" s="105"/>
    </row>
    <row r="61" spans="18:25" ht="12.75">
      <c r="R61"/>
      <c r="S61">
        <f t="shared" si="2"/>
        <v>1.2302687708123852</v>
      </c>
      <c r="T61" s="105">
        <f t="shared" si="1"/>
        <v>35.77679337029286</v>
      </c>
      <c r="U61">
        <f t="shared" si="3"/>
        <v>1279.9789438606308</v>
      </c>
      <c r="W61"/>
      <c r="X61"/>
      <c r="Y61" s="105"/>
    </row>
    <row r="62" spans="18:25" ht="12.75">
      <c r="R62"/>
      <c r="S62">
        <f t="shared" si="2"/>
        <v>1.2882495516931378</v>
      </c>
      <c r="T62" s="105">
        <f t="shared" si="1"/>
        <v>35.80423695185273</v>
      </c>
      <c r="U62">
        <f t="shared" si="3"/>
        <v>1281.9433837044166</v>
      </c>
      <c r="W62"/>
      <c r="X62"/>
      <c r="Y62" s="105"/>
    </row>
    <row r="63" spans="1:25" ht="13.5" thickBot="1">
      <c r="A63" s="84" t="s">
        <v>97</v>
      </c>
      <c r="B63" s="84"/>
      <c r="C63" s="85"/>
      <c r="D63" s="86"/>
      <c r="E63" s="84"/>
      <c r="F63" s="84"/>
      <c r="G63" s="87"/>
      <c r="H63" s="84"/>
      <c r="R63"/>
      <c r="S63">
        <f t="shared" si="2"/>
        <v>1.3489628825916578</v>
      </c>
      <c r="T63" s="105">
        <f t="shared" si="1"/>
        <v>35.831659514292696</v>
      </c>
      <c r="U63">
        <f t="shared" si="3"/>
        <v>1283.9078235482023</v>
      </c>
      <c r="W63"/>
      <c r="X63"/>
      <c r="Y63" s="105"/>
    </row>
    <row r="64" spans="1:25" ht="12.75">
      <c r="A64" s="18" t="str">
        <f>VLOOKUP(1,A67:B78,2,FALSE)</f>
        <v>Input is consistent.  </v>
      </c>
      <c r="C64" s="15"/>
      <c r="D64" s="16"/>
      <c r="R64"/>
      <c r="S64">
        <f t="shared" si="2"/>
        <v>1.4125375446227588</v>
      </c>
      <c r="T64" s="105">
        <f t="shared" si="1"/>
        <v>35.85906110583472</v>
      </c>
      <c r="U64">
        <f t="shared" si="3"/>
        <v>1285.872263391988</v>
      </c>
      <c r="W64"/>
      <c r="X64"/>
      <c r="Y64" s="105"/>
    </row>
    <row r="65" spans="3:25" ht="12.75">
      <c r="C65" s="16"/>
      <c r="D65" s="16"/>
      <c r="R65"/>
      <c r="S65">
        <f t="shared" si="2"/>
        <v>1.4791083881682123</v>
      </c>
      <c r="T65" s="105">
        <f t="shared" si="1"/>
        <v>35.88644177451665</v>
      </c>
      <c r="U65">
        <f t="shared" si="3"/>
        <v>1287.8367032357737</v>
      </c>
      <c r="W65"/>
      <c r="X65"/>
      <c r="Y65" s="105"/>
    </row>
    <row r="66" spans="1:25" ht="12.75">
      <c r="A66" s="8" t="s">
        <v>48</v>
      </c>
      <c r="B66" s="8" t="s">
        <v>49</v>
      </c>
      <c r="R66"/>
      <c r="S66">
        <f t="shared" si="2"/>
        <v>1.5488166189124866</v>
      </c>
      <c r="T66" s="105">
        <f t="shared" si="1"/>
        <v>35.91380156819324</v>
      </c>
      <c r="U66">
        <f t="shared" si="3"/>
        <v>1289.8011430795596</v>
      </c>
      <c r="W66"/>
      <c r="X66"/>
      <c r="Y66" s="105"/>
    </row>
    <row r="67" spans="1:25" ht="12.75">
      <c r="A67" s="8">
        <f>IF(B17&gt;B19,1,0)</f>
        <v>0</v>
      </c>
      <c r="B67" s="14" t="str">
        <f>CONCATENATE("Water level is below ",A19)</f>
        <v>Water level is below Base of Aquifer </v>
      </c>
      <c r="R67"/>
      <c r="S67">
        <f t="shared" si="2"/>
        <v>1.6218100973589356</v>
      </c>
      <c r="T67" s="105">
        <f t="shared" si="1"/>
        <v>35.94114053453709</v>
      </c>
      <c r="U67">
        <f t="shared" si="3"/>
        <v>1291.7655829233452</v>
      </c>
      <c r="W67"/>
      <c r="X67"/>
      <c r="Y67" s="105"/>
    </row>
    <row r="68" spans="1:25" ht="12.75">
      <c r="A68" s="8">
        <f>IF(B41&gt;B42,A67+1,A67)</f>
        <v>0</v>
      </c>
      <c r="B68" s="14" t="s">
        <v>19</v>
      </c>
      <c r="R68"/>
      <c r="S68">
        <f t="shared" si="2"/>
        <v>1.6982436524617504</v>
      </c>
      <c r="T68" s="105">
        <f t="shared" si="1"/>
        <v>35.96845872103962</v>
      </c>
      <c r="U68">
        <f t="shared" si="3"/>
        <v>1293.730022767131</v>
      </c>
      <c r="W68"/>
      <c r="X68"/>
      <c r="Y68" s="105"/>
    </row>
    <row r="69" spans="1:25" ht="12.75">
      <c r="A69" s="8">
        <f>IF(B18+B14&gt;B19,A68+1,A68)</f>
        <v>0</v>
      </c>
      <c r="B69" s="14" t="str">
        <f>CONCATENATE(A18," is deeper than ",A19)</f>
        <v>Top of Aquifer  is deeper than Base of Aquifer </v>
      </c>
      <c r="R69"/>
      <c r="S69">
        <f t="shared" si="2"/>
        <v>1.7782794100389292</v>
      </c>
      <c r="T69" s="105">
        <f t="shared" si="1"/>
        <v>35.995756175012026</v>
      </c>
      <c r="U69">
        <f t="shared" si="3"/>
        <v>1295.6944626109166</v>
      </c>
      <c r="W69"/>
      <c r="X69"/>
      <c r="Y69" s="105"/>
    </row>
    <row r="70" spans="1:25" ht="12.75">
      <c r="A70" s="8">
        <f>IF(B25&lt;F70,A69+1,A69)</f>
        <v>0</v>
      </c>
      <c r="B70" s="14" t="str">
        <f>CONCATENATE("Screen length is less than ",F70," ",COMPUTATION!C14)</f>
        <v>Screen length is less than 1 Feet</v>
      </c>
      <c r="F70" s="8">
        <v>1</v>
      </c>
      <c r="R70"/>
      <c r="S70">
        <f t="shared" si="2"/>
        <v>1.8620871366628742</v>
      </c>
      <c r="T70" s="105">
        <f t="shared" si="1"/>
        <v>36.02303294358628</v>
      </c>
      <c r="U70">
        <f t="shared" si="3"/>
        <v>1297.6589024547025</v>
      </c>
      <c r="W70"/>
      <c r="X70"/>
      <c r="Y70" s="105"/>
    </row>
    <row r="71" spans="1:25" ht="12.75">
      <c r="A71" s="8">
        <f>IF(COMPUTATION!B44*B49&lt;0,A70+1,A70)</f>
        <v>0</v>
      </c>
      <c r="B71" s="42" t="s">
        <v>21</v>
      </c>
      <c r="R71"/>
      <c r="S71">
        <f t="shared" si="2"/>
        <v>1.9498445997580525</v>
      </c>
      <c r="T71" s="105">
        <f t="shared" si="1"/>
        <v>36.05028907371601</v>
      </c>
      <c r="U71">
        <f aca="true" t="shared" si="4" ref="U71:U102">LOG(S71)*$H$45+$H$47</f>
        <v>1299.623342298488</v>
      </c>
      <c r="W71"/>
      <c r="X71"/>
      <c r="Y71" s="105"/>
    </row>
    <row r="72" spans="1:25" ht="12.75">
      <c r="A72" s="8">
        <f>IF(B57&lt;F72,A71+1,A71)</f>
        <v>0</v>
      </c>
      <c r="B72" s="14" t="str">
        <f>CONCATENATE("K= ",$B$57," is less than extreme minimum of ",H72," for ",$B$23)</f>
        <v>K= 240 is less than extreme minimum of 50 for Coarse Sand</v>
      </c>
      <c r="F72" s="34">
        <f>VLOOKUP($B$23,'DEFAULT PROPERTIES and SETTINGS'!$D$11:$F$45,2,0)*$C$10</f>
        <v>50</v>
      </c>
      <c r="G72" s="29">
        <f>INT(LOG(F72))</f>
        <v>1</v>
      </c>
      <c r="H72" s="29">
        <f>INT(F72/10^(G72-'DEFAULT PROPERTIES and SETTINGS'!$D$2)+0.5)*10^(G72-'DEFAULT PROPERTIES and SETTINGS'!$D$2)</f>
        <v>50</v>
      </c>
      <c r="R72"/>
      <c r="S72">
        <f t="shared" si="2"/>
        <v>2.041737944669537</v>
      </c>
      <c r="T72" s="105">
        <f aca="true" t="shared" si="5" ref="T72:T106">U72^0.5</f>
        <v>36.077524612177506</v>
      </c>
      <c r="U72">
        <f t="shared" si="4"/>
        <v>1301.587782142274</v>
      </c>
      <c r="W72"/>
      <c r="X72"/>
      <c r="Y72" s="105"/>
    </row>
    <row r="73" spans="1:25" ht="12.75">
      <c r="A73" s="8">
        <f>IF(B57&gt;F73,A72+1,A72)</f>
        <v>0</v>
      </c>
      <c r="B73" s="14" t="str">
        <f>CONCATENATE("K= ",$B$57," is greater than extreme maximum of ",H73," for ",$B$23)</f>
        <v>K= 240 is greater than extreme maximum of 300 for Coarse Sand</v>
      </c>
      <c r="F73" s="34">
        <f>VLOOKUP($B$23,'DEFAULT PROPERTIES and SETTINGS'!$D$11:$H$45,5,0)*$C$10</f>
        <v>300</v>
      </c>
      <c r="G73" s="29">
        <f>INT(LOG(F73))</f>
        <v>2</v>
      </c>
      <c r="H73" s="29">
        <f>INT(F73/10^(G73-'DEFAULT PROPERTIES and SETTINGS'!$D$2)+0.5)*10^(G73-'DEFAULT PROPERTIES and SETTINGS'!$D$2)</f>
        <v>300</v>
      </c>
      <c r="R73"/>
      <c r="S73">
        <f aca="true" t="shared" si="6" ref="S73:S106">S72*$R$5</f>
        <v>2.1379620895022406</v>
      </c>
      <c r="T73" s="105">
        <f t="shared" si="5"/>
        <v>36.104739605570614</v>
      </c>
      <c r="U73">
        <f t="shared" si="4"/>
        <v>1303.5522219860595</v>
      </c>
      <c r="W73"/>
      <c r="X73"/>
      <c r="Y73" s="105"/>
    </row>
    <row r="74" spans="1:25" ht="12.75">
      <c r="A74" s="8">
        <f>A73+1</f>
        <v>1</v>
      </c>
      <c r="B74" s="17" t="s">
        <v>22</v>
      </c>
      <c r="R74"/>
      <c r="S74">
        <f t="shared" si="6"/>
        <v>2.2387211385683488</v>
      </c>
      <c r="T74" s="105">
        <f t="shared" si="5"/>
        <v>36.1319341003197</v>
      </c>
      <c r="U74">
        <f t="shared" si="4"/>
        <v>1305.5166618298454</v>
      </c>
      <c r="W74"/>
      <c r="X74"/>
      <c r="Y74" s="105"/>
    </row>
    <row r="75" spans="18:25" ht="12.75">
      <c r="R75"/>
      <c r="S75">
        <f t="shared" si="6"/>
        <v>2.3442288153199318</v>
      </c>
      <c r="T75" s="105">
        <f t="shared" si="5"/>
        <v>36.159108142674526</v>
      </c>
      <c r="U75">
        <f t="shared" si="4"/>
        <v>1307.481101673631</v>
      </c>
      <c r="W75"/>
      <c r="X75"/>
      <c r="Y75" s="105"/>
    </row>
    <row r="76" spans="2:25" ht="12.75">
      <c r="B76" s="17" t="s">
        <v>23</v>
      </c>
      <c r="R76"/>
      <c r="S76">
        <f t="shared" si="6"/>
        <v>2.454708915685041</v>
      </c>
      <c r="T76" s="105">
        <f t="shared" si="5"/>
        <v>36.18626177871123</v>
      </c>
      <c r="U76">
        <f t="shared" si="4"/>
        <v>1309.4455415174168</v>
      </c>
      <c r="W76"/>
      <c r="X76"/>
      <c r="Y76" s="105"/>
    </row>
    <row r="77" spans="18:25" ht="12.75">
      <c r="R77"/>
      <c r="S77">
        <f t="shared" si="6"/>
        <v>2.570395782768875</v>
      </c>
      <c r="T77" s="105">
        <f t="shared" si="5"/>
        <v>36.213395054333176</v>
      </c>
      <c r="U77">
        <f t="shared" si="4"/>
        <v>1311.4099813612024</v>
      </c>
      <c r="W77"/>
      <c r="X77"/>
      <c r="Y77" s="105"/>
    </row>
    <row r="78" spans="18:25" ht="12.75">
      <c r="R78"/>
      <c r="S78">
        <f t="shared" si="6"/>
        <v>2.6915348039269276</v>
      </c>
      <c r="T78" s="105">
        <f t="shared" si="5"/>
        <v>36.24050801527192</v>
      </c>
      <c r="U78">
        <f t="shared" si="4"/>
        <v>1313.3744212049883</v>
      </c>
      <c r="W78"/>
      <c r="X78"/>
      <c r="Y78" s="105"/>
    </row>
    <row r="79" spans="18:25" ht="12.75">
      <c r="R79"/>
      <c r="S79">
        <f t="shared" si="6"/>
        <v>2.8183829312644666</v>
      </c>
      <c r="T79" s="105">
        <f t="shared" si="5"/>
        <v>36.26760070708805</v>
      </c>
      <c r="U79">
        <f t="shared" si="4"/>
        <v>1315.3388610487739</v>
      </c>
      <c r="W79"/>
      <c r="X79"/>
      <c r="Y79" s="105"/>
    </row>
    <row r="80" spans="18:25" ht="12.75">
      <c r="R80"/>
      <c r="S80">
        <f t="shared" si="6"/>
        <v>2.9512092266663994</v>
      </c>
      <c r="T80" s="105">
        <f t="shared" si="5"/>
        <v>36.294673175172136</v>
      </c>
      <c r="U80">
        <f t="shared" si="4"/>
        <v>1317.3033008925597</v>
      </c>
      <c r="W80"/>
      <c r="X80"/>
      <c r="Y80" s="105"/>
    </row>
    <row r="81" spans="1:25" ht="13.5" thickBot="1">
      <c r="A81" s="84" t="s">
        <v>98</v>
      </c>
      <c r="B81" s="84"/>
      <c r="C81" s="85"/>
      <c r="D81" s="86"/>
      <c r="E81" s="84"/>
      <c r="F81" s="84"/>
      <c r="G81" s="87"/>
      <c r="H81" s="84"/>
      <c r="I81"/>
      <c r="R81"/>
      <c r="S81">
        <f t="shared" si="6"/>
        <v>3.090295432513605</v>
      </c>
      <c r="T81" s="105">
        <f t="shared" si="5"/>
        <v>36.32172546474555</v>
      </c>
      <c r="U81">
        <f t="shared" si="4"/>
        <v>1319.2677407363453</v>
      </c>
      <c r="W81"/>
      <c r="X81"/>
      <c r="Y81" s="105"/>
    </row>
    <row r="82" spans="1:25" ht="12.75">
      <c r="A82" s="18">
        <f>VLOOKUP(1,A85:B96,2,FALSE)</f>
      </c>
      <c r="B82"/>
      <c r="C82" s="88"/>
      <c r="D82" s="89"/>
      <c r="E82"/>
      <c r="F82"/>
      <c r="H82"/>
      <c r="I82"/>
      <c r="R82"/>
      <c r="S82">
        <f t="shared" si="6"/>
        <v>3.2359365692962982</v>
      </c>
      <c r="T82" s="105">
        <f t="shared" si="5"/>
        <v>36.34875762086142</v>
      </c>
      <c r="U82">
        <f t="shared" si="4"/>
        <v>1321.2321805801312</v>
      </c>
      <c r="W82"/>
      <c r="X82"/>
      <c r="Y82" s="105"/>
    </row>
    <row r="83" spans="1:25" ht="12.75">
      <c r="A83"/>
      <c r="B83"/>
      <c r="C83"/>
      <c r="D83"/>
      <c r="E83"/>
      <c r="F83"/>
      <c r="G83"/>
      <c r="H83"/>
      <c r="I83"/>
      <c r="R83"/>
      <c r="S83">
        <f t="shared" si="6"/>
        <v>3.388441561392042</v>
      </c>
      <c r="T83" s="105">
        <f t="shared" si="5"/>
        <v>36.37576968840545</v>
      </c>
      <c r="U83">
        <f t="shared" si="4"/>
        <v>1323.1966204239168</v>
      </c>
      <c r="W83"/>
      <c r="X83"/>
      <c r="Y83" s="105"/>
    </row>
    <row r="84" spans="1:25" ht="12.75">
      <c r="A84" s="8" t="s">
        <v>48</v>
      </c>
      <c r="B84" s="8" t="s">
        <v>49</v>
      </c>
      <c r="C84"/>
      <c r="D84"/>
      <c r="E84"/>
      <c r="F84"/>
      <c r="H84"/>
      <c r="I84"/>
      <c r="R84"/>
      <c r="S84">
        <f t="shared" si="6"/>
        <v>3.5481338923357724</v>
      </c>
      <c r="T84" s="105">
        <f t="shared" si="5"/>
        <v>36.402761712096826</v>
      </c>
      <c r="U84">
        <f t="shared" si="4"/>
        <v>1325.1610602677026</v>
      </c>
      <c r="W84"/>
      <c r="X84"/>
      <c r="Y84" s="105"/>
    </row>
    <row r="85" spans="1:25" ht="12.75">
      <c r="A85" s="8">
        <v>0</v>
      </c>
      <c r="B85" s="90"/>
      <c r="C85"/>
      <c r="D85"/>
      <c r="E85"/>
      <c r="F85"/>
      <c r="H85"/>
      <c r="I85"/>
      <c r="R85"/>
      <c r="S85">
        <f t="shared" si="6"/>
        <v>3.7153522909717442</v>
      </c>
      <c r="T85" s="105">
        <f t="shared" si="5"/>
        <v>36.42973373648905</v>
      </c>
      <c r="U85">
        <f t="shared" si="4"/>
        <v>1327.1255001114882</v>
      </c>
      <c r="W85"/>
      <c r="X85"/>
      <c r="Y85" s="105"/>
    </row>
    <row r="86" spans="1:25" ht="12.75">
      <c r="A86" s="8">
        <f>IF($B$56&lt;F86,A85+1,A85)</f>
        <v>0</v>
      </c>
      <c r="B86" s="14" t="str">
        <f>CONCATENATE("K= ",$B$57," is less than likely minimum of ",H86," for ",$B$23)</f>
        <v>K= 240 is less than likely minimum of 70 for Coarse Sand</v>
      </c>
      <c r="C86"/>
      <c r="D86"/>
      <c r="E86"/>
      <c r="F86" s="34">
        <f>VLOOKUP($B$23,'DEFAULT PROPERTIES and SETTINGS'!$D$11:$H$45,3,0)*$C$10</f>
        <v>70</v>
      </c>
      <c r="G86" s="29">
        <f>INT(LOG(F86))</f>
        <v>1</v>
      </c>
      <c r="H86" s="29">
        <f>INT(F86/10^(G86-'DEFAULT PROPERTIES and SETTINGS'!$D$2)+0.5)*10^(G86-'DEFAULT PROPERTIES and SETTINGS'!$D$2)</f>
        <v>70</v>
      </c>
      <c r="I86"/>
      <c r="R86"/>
      <c r="S86">
        <f t="shared" si="6"/>
        <v>3.890451449942826</v>
      </c>
      <c r="T86" s="105">
        <f t="shared" si="5"/>
        <v>36.45668580597082</v>
      </c>
      <c r="U86">
        <f t="shared" si="4"/>
        <v>1329.089939955274</v>
      </c>
      <c r="W86"/>
      <c r="X86"/>
      <c r="Y86" s="105"/>
    </row>
    <row r="87" spans="1:25" ht="12.75">
      <c r="A87" s="8">
        <f>IF($B$56&gt;F87,A86+1,A86)</f>
        <v>0</v>
      </c>
      <c r="B87" s="14" t="str">
        <f>CONCATENATE("K= ",$B$57," is greater than likely maximum of ",H87," for ",$B$23)</f>
        <v>K= 240 is greater than likely maximum of 300 for Coarse Sand</v>
      </c>
      <c r="C87"/>
      <c r="D87"/>
      <c r="E87"/>
      <c r="F87" s="34">
        <f>VLOOKUP($B$23,'DEFAULT PROPERTIES and SETTINGS'!$D$11:$H$45,4,0)*$C$10</f>
        <v>300</v>
      </c>
      <c r="G87" s="29">
        <f>INT(LOG(F87))</f>
        <v>2</v>
      </c>
      <c r="H87" s="29">
        <f>INT(F87/10^(G87-'DEFAULT PROPERTIES and SETTINGS'!$D$2)+0.5)*10^(G87-'DEFAULT PROPERTIES and SETTINGS'!$D$2)</f>
        <v>300</v>
      </c>
      <c r="I87"/>
      <c r="R87"/>
      <c r="S87">
        <f t="shared" si="6"/>
        <v>4.0738027780411485</v>
      </c>
      <c r="T87" s="105">
        <f t="shared" si="5"/>
        <v>36.483617964766864</v>
      </c>
      <c r="U87">
        <f t="shared" si="4"/>
        <v>1331.0543797990597</v>
      </c>
      <c r="W87"/>
      <c r="X87"/>
      <c r="Y87" s="105"/>
    </row>
    <row r="88" spans="1:25" ht="12.75">
      <c r="A88" s="8">
        <f>A87+1</f>
        <v>1</v>
      </c>
      <c r="B88" s="91" t="s">
        <v>63</v>
      </c>
      <c r="C88"/>
      <c r="D88"/>
      <c r="E88"/>
      <c r="F88"/>
      <c r="H88"/>
      <c r="I88"/>
      <c r="R88"/>
      <c r="S88">
        <f t="shared" si="6"/>
        <v>4.265795188015949</v>
      </c>
      <c r="T88" s="105">
        <f t="shared" si="5"/>
        <v>36.51053025693883</v>
      </c>
      <c r="U88">
        <f t="shared" si="4"/>
        <v>1333.0188196428455</v>
      </c>
      <c r="W88"/>
      <c r="X88"/>
      <c r="Y88" s="105"/>
    </row>
    <row r="89" spans="1:25" ht="12.75">
      <c r="A89"/>
      <c r="B89"/>
      <c r="C89"/>
      <c r="D89"/>
      <c r="E89"/>
      <c r="F89"/>
      <c r="G89"/>
      <c r="H89"/>
      <c r="I89"/>
      <c r="R89"/>
      <c r="S89">
        <f t="shared" si="6"/>
        <v>4.466835921509655</v>
      </c>
      <c r="T89" s="105">
        <f t="shared" si="5"/>
        <v>36.53742272638604</v>
      </c>
      <c r="U89">
        <f t="shared" si="4"/>
        <v>1334.9832594866311</v>
      </c>
      <c r="W89"/>
      <c r="X89"/>
      <c r="Y89" s="105"/>
    </row>
    <row r="90" spans="18:25" ht="12.75">
      <c r="R90"/>
      <c r="S90">
        <f t="shared" si="6"/>
        <v>4.6773514128720075</v>
      </c>
      <c r="T90" s="105">
        <f t="shared" si="5"/>
        <v>36.564295416846434</v>
      </c>
      <c r="U90">
        <f t="shared" si="4"/>
        <v>1336.947699330417</v>
      </c>
      <c r="W90"/>
      <c r="X90"/>
      <c r="Y90" s="105"/>
    </row>
    <row r="91" spans="18:25" ht="12.75">
      <c r="R91"/>
      <c r="S91">
        <f t="shared" si="6"/>
        <v>4.897788193684489</v>
      </c>
      <c r="T91" s="105">
        <f t="shared" si="5"/>
        <v>36.591148371897305</v>
      </c>
      <c r="U91">
        <f t="shared" si="4"/>
        <v>1338.9121391742026</v>
      </c>
      <c r="W91"/>
      <c r="X91"/>
      <c r="Y91" s="105"/>
    </row>
    <row r="92" spans="18:25" ht="12.75">
      <c r="R92"/>
      <c r="S92">
        <f t="shared" si="6"/>
        <v>5.128613839913678</v>
      </c>
      <c r="T92" s="105">
        <f t="shared" si="5"/>
        <v>36.61798163495619</v>
      </c>
      <c r="U92">
        <f t="shared" si="4"/>
        <v>1340.8765790179884</v>
      </c>
      <c r="W92"/>
      <c r="X92"/>
      <c r="Y92" s="105"/>
    </row>
    <row r="93" spans="18:25" ht="12.75">
      <c r="R93"/>
      <c r="S93">
        <f t="shared" si="6"/>
        <v>5.370317963702559</v>
      </c>
      <c r="T93" s="105">
        <f t="shared" si="5"/>
        <v>36.644795249281636</v>
      </c>
      <c r="U93">
        <f t="shared" si="4"/>
        <v>1342.841018861774</v>
      </c>
      <c r="W93"/>
      <c r="X93"/>
      <c r="Y93" s="105"/>
    </row>
    <row r="94" spans="18:25" ht="12.75">
      <c r="R94"/>
      <c r="S94">
        <f t="shared" si="6"/>
        <v>5.623413251903524</v>
      </c>
      <c r="T94" s="105">
        <f t="shared" si="5"/>
        <v>36.67158925797408</v>
      </c>
      <c r="U94">
        <f t="shared" si="4"/>
        <v>1344.8054587055599</v>
      </c>
      <c r="W94"/>
      <c r="X94"/>
      <c r="Y94" s="105"/>
    </row>
    <row r="95" spans="18:25" ht="12.75">
      <c r="R95"/>
      <c r="S95">
        <f t="shared" si="6"/>
        <v>5.888436553555925</v>
      </c>
      <c r="T95" s="105">
        <f t="shared" si="5"/>
        <v>36.698363703976575</v>
      </c>
      <c r="U95">
        <f t="shared" si="4"/>
        <v>1346.7698985493455</v>
      </c>
      <c r="W95"/>
      <c r="X95"/>
      <c r="Y95" s="105"/>
    </row>
    <row r="96" spans="18:25" ht="12.75">
      <c r="R96"/>
      <c r="S96">
        <f t="shared" si="6"/>
        <v>6.1659500186148595</v>
      </c>
      <c r="T96" s="105">
        <f t="shared" si="5"/>
        <v>36.72511863007567</v>
      </c>
      <c r="U96">
        <f t="shared" si="4"/>
        <v>1348.734338393131</v>
      </c>
      <c r="W96"/>
      <c r="X96"/>
      <c r="Y96" s="105"/>
    </row>
    <row r="97" spans="18:25" ht="12.75">
      <c r="R97"/>
      <c r="S97">
        <f t="shared" si="6"/>
        <v>6.456542290346595</v>
      </c>
      <c r="T97" s="105">
        <f t="shared" si="5"/>
        <v>36.751854078902156</v>
      </c>
      <c r="U97">
        <f t="shared" si="4"/>
        <v>1350.698778236917</v>
      </c>
      <c r="W97"/>
      <c r="X97"/>
      <c r="Y97" s="105"/>
    </row>
    <row r="98" spans="18:25" ht="12.75">
      <c r="R98"/>
      <c r="S98">
        <f t="shared" si="6"/>
        <v>6.76082975391986</v>
      </c>
      <c r="T98" s="105">
        <f t="shared" si="5"/>
        <v>36.77857009293187</v>
      </c>
      <c r="U98">
        <f t="shared" si="4"/>
        <v>1352.6632180807028</v>
      </c>
      <c r="W98"/>
      <c r="X98"/>
      <c r="Y98" s="105"/>
    </row>
    <row r="99" spans="18:25" ht="12.75">
      <c r="R99"/>
      <c r="S99">
        <f t="shared" si="6"/>
        <v>7.079457843841424</v>
      </c>
      <c r="T99" s="105">
        <f t="shared" si="5"/>
        <v>36.80526671448651</v>
      </c>
      <c r="U99">
        <f t="shared" si="4"/>
        <v>1354.6276579244884</v>
      </c>
      <c r="W99"/>
      <c r="X99"/>
      <c r="Y99" s="105"/>
    </row>
    <row r="100" spans="18:25" ht="12.75">
      <c r="R100"/>
      <c r="S100">
        <f t="shared" si="6"/>
        <v>7.413102413009223</v>
      </c>
      <c r="T100" s="105">
        <f t="shared" si="5"/>
        <v>36.83194398573437</v>
      </c>
      <c r="U100">
        <f t="shared" si="4"/>
        <v>1356.592097768274</v>
      </c>
      <c r="W100"/>
      <c r="X100"/>
      <c r="Y100" s="105"/>
    </row>
    <row r="101" spans="18:25" ht="12.75">
      <c r="R101"/>
      <c r="S101">
        <f t="shared" si="6"/>
        <v>7.762471166286968</v>
      </c>
      <c r="T101" s="105">
        <f t="shared" si="5"/>
        <v>36.85860194869116</v>
      </c>
      <c r="U101">
        <f t="shared" si="4"/>
        <v>1358.5565376120599</v>
      </c>
      <c r="W101"/>
      <c r="X101"/>
      <c r="Y101" s="105"/>
    </row>
    <row r="102" spans="18:25" ht="12.75">
      <c r="R102"/>
      <c r="S102">
        <f t="shared" si="6"/>
        <v>8.128305161641046</v>
      </c>
      <c r="T102" s="105">
        <f t="shared" si="5"/>
        <v>36.88524064522076</v>
      </c>
      <c r="U102">
        <f t="shared" si="4"/>
        <v>1360.5209774558457</v>
      </c>
      <c r="W102"/>
      <c r="X102"/>
      <c r="Y102" s="105"/>
    </row>
    <row r="103" spans="18:25" ht="12.75">
      <c r="R103"/>
      <c r="S103">
        <f t="shared" si="6"/>
        <v>8.511380382023821</v>
      </c>
      <c r="T103" s="105">
        <f t="shared" si="5"/>
        <v>36.91186011703598</v>
      </c>
      <c r="U103">
        <f aca="true" t="shared" si="7" ref="U103:U134">LOG(S103)*$H$45+$H$47</f>
        <v>1362.4854172996313</v>
      </c>
      <c r="W103"/>
      <c r="X103"/>
      <c r="Y103" s="105"/>
    </row>
    <row r="104" spans="18:25" ht="12.75">
      <c r="R104"/>
      <c r="S104">
        <f t="shared" si="6"/>
        <v>8.912509381337516</v>
      </c>
      <c r="T104" s="105">
        <f t="shared" si="5"/>
        <v>36.938460405699324</v>
      </c>
      <c r="U104">
        <f t="shared" si="7"/>
        <v>1364.449857143417</v>
      </c>
      <c r="W104"/>
      <c r="X104"/>
      <c r="Y104" s="105"/>
    </row>
    <row r="105" spans="18:25" ht="12.75">
      <c r="R105"/>
      <c r="S105">
        <f t="shared" si="6"/>
        <v>9.332543007969974</v>
      </c>
      <c r="T105" s="105">
        <f t="shared" si="5"/>
        <v>36.96504155262378</v>
      </c>
      <c r="U105">
        <f t="shared" si="7"/>
        <v>1366.4142969872028</v>
      </c>
      <c r="W105"/>
      <c r="X105"/>
      <c r="Y105" s="105"/>
    </row>
    <row r="106" spans="18:25" ht="12.75">
      <c r="R106"/>
      <c r="S106">
        <f t="shared" si="6"/>
        <v>9.772372209558174</v>
      </c>
      <c r="T106" s="105">
        <f t="shared" si="5"/>
        <v>36.991603599073514</v>
      </c>
      <c r="U106">
        <f t="shared" si="7"/>
        <v>1368.3787368309884</v>
      </c>
      <c r="W106"/>
      <c r="X106"/>
      <c r="Y106" s="105"/>
    </row>
    <row r="107" spans="18:25" ht="12.75">
      <c r="R107"/>
      <c r="S107">
        <f aca="true" t="shared" si="8" ref="S107:S170">S106*$R$5</f>
        <v>10.232929922807612</v>
      </c>
      <c r="T107" s="105">
        <f aca="true" t="shared" si="9" ref="T107:T170">U107^0.5</f>
        <v>37.01814658616466</v>
      </c>
      <c r="U107">
        <f t="shared" si="7"/>
        <v>1370.3431766747742</v>
      </c>
      <c r="W107"/>
      <c r="X107"/>
      <c r="Y107" s="105"/>
    </row>
    <row r="108" spans="18:25" ht="12.75">
      <c r="R108"/>
      <c r="S108">
        <f t="shared" si="8"/>
        <v>10.715193052376138</v>
      </c>
      <c r="T108" s="105">
        <f t="shared" si="9"/>
        <v>37.04467055486605</v>
      </c>
      <c r="U108">
        <f t="shared" si="7"/>
        <v>1372.3076165185598</v>
      </c>
      <c r="W108"/>
      <c r="X108"/>
      <c r="Y108" s="105"/>
    </row>
    <row r="109" spans="19:25" ht="12.75">
      <c r="S109">
        <f t="shared" si="8"/>
        <v>11.220184543019712</v>
      </c>
      <c r="T109" s="105">
        <f t="shared" si="9"/>
        <v>37.071175545999964</v>
      </c>
      <c r="U109">
        <f t="shared" si="7"/>
        <v>1374.2720563623457</v>
      </c>
      <c r="W109"/>
      <c r="X109"/>
      <c r="Y109" s="105"/>
    </row>
    <row r="110" spans="19:25" ht="12.75">
      <c r="S110">
        <f t="shared" si="8"/>
        <v>11.748975549395379</v>
      </c>
      <c r="T110" s="105">
        <f t="shared" si="9"/>
        <v>37.09766160024283</v>
      </c>
      <c r="U110">
        <f t="shared" si="7"/>
        <v>1376.2364962061313</v>
      </c>
      <c r="W110"/>
      <c r="X110"/>
      <c r="Y110" s="105"/>
    </row>
    <row r="111" spans="19:25" ht="12.75">
      <c r="S111">
        <f t="shared" si="8"/>
        <v>12.302687708123903</v>
      </c>
      <c r="T111" s="105">
        <f t="shared" si="9"/>
        <v>37.12412875812599</v>
      </c>
      <c r="U111">
        <f t="shared" si="7"/>
        <v>1378.2009360499171</v>
      </c>
      <c r="W111"/>
      <c r="X111"/>
      <c r="Y111" s="105"/>
    </row>
    <row r="112" spans="19:25" ht="12.75">
      <c r="S112">
        <f t="shared" si="8"/>
        <v>12.882495516931433</v>
      </c>
      <c r="T112" s="105">
        <f t="shared" si="9"/>
        <v>37.1505770600364</v>
      </c>
      <c r="U112">
        <f t="shared" si="7"/>
        <v>1380.1653758937027</v>
      </c>
      <c r="W112"/>
      <c r="X112"/>
      <c r="Y112" s="105"/>
    </row>
    <row r="113" spans="19:25" ht="12.75">
      <c r="S113">
        <f t="shared" si="8"/>
        <v>13.489628825916634</v>
      </c>
      <c r="T113" s="105">
        <f t="shared" si="9"/>
        <v>37.17700654621736</v>
      </c>
      <c r="U113">
        <f t="shared" si="7"/>
        <v>1382.1298157374886</v>
      </c>
      <c r="W113"/>
      <c r="X113"/>
      <c r="Y113" s="105"/>
    </row>
    <row r="114" spans="19:25" ht="12.75">
      <c r="S114">
        <f t="shared" si="8"/>
        <v>14.125375446227647</v>
      </c>
      <c r="T114" s="105">
        <f t="shared" si="9"/>
        <v>37.20341725676923</v>
      </c>
      <c r="U114">
        <f t="shared" si="7"/>
        <v>1384.0942555812742</v>
      </c>
      <c r="W114"/>
      <c r="X114"/>
      <c r="Y114" s="105"/>
    </row>
    <row r="115" spans="19:25" ht="12.75">
      <c r="S115">
        <f t="shared" si="8"/>
        <v>14.791083881682184</v>
      </c>
      <c r="T115" s="105">
        <f t="shared" si="9"/>
        <v>37.229809231650115</v>
      </c>
      <c r="U115">
        <f t="shared" si="7"/>
        <v>1386.05869542506</v>
      </c>
      <c r="W115"/>
      <c r="X115"/>
      <c r="Y115" s="105"/>
    </row>
    <row r="116" spans="19:25" ht="12.75">
      <c r="S116">
        <f t="shared" si="8"/>
        <v>15.488166189124929</v>
      </c>
      <c r="T116" s="105">
        <f t="shared" si="9"/>
        <v>37.25618251067661</v>
      </c>
      <c r="U116">
        <f t="shared" si="7"/>
        <v>1388.0231352688456</v>
      </c>
      <c r="W116"/>
      <c r="X116"/>
      <c r="Y116" s="105"/>
    </row>
    <row r="117" spans="19:25" ht="12.75">
      <c r="S117">
        <f t="shared" si="8"/>
        <v>16.218100973589422</v>
      </c>
      <c r="T117" s="105">
        <f t="shared" si="9"/>
        <v>37.28253713352448</v>
      </c>
      <c r="U117">
        <f t="shared" si="7"/>
        <v>1389.9875751126315</v>
      </c>
      <c r="W117"/>
      <c r="X117"/>
      <c r="Y117" s="105"/>
    </row>
    <row r="118" spans="19:25" ht="12.75">
      <c r="S118">
        <f t="shared" si="8"/>
        <v>16.982436524617572</v>
      </c>
      <c r="T118" s="105">
        <f t="shared" si="9"/>
        <v>37.308873139729336</v>
      </c>
      <c r="U118">
        <f t="shared" si="7"/>
        <v>1391.952014956417</v>
      </c>
      <c r="W118"/>
      <c r="X118"/>
      <c r="Y118" s="105"/>
    </row>
    <row r="119" spans="19:25" ht="12.75">
      <c r="S119">
        <f t="shared" si="8"/>
        <v>17.782794100389363</v>
      </c>
      <c r="T119" s="105">
        <f t="shared" si="9"/>
        <v>37.33519056868738</v>
      </c>
      <c r="U119">
        <f t="shared" si="7"/>
        <v>1393.916454800203</v>
      </c>
      <c r="W119"/>
      <c r="X119"/>
      <c r="Y119" s="105"/>
    </row>
    <row r="120" spans="19:25" ht="12.75">
      <c r="S120">
        <f t="shared" si="8"/>
        <v>18.62087136662882</v>
      </c>
      <c r="T120" s="105">
        <f t="shared" si="9"/>
        <v>37.36148945965603</v>
      </c>
      <c r="U120">
        <f t="shared" si="7"/>
        <v>1395.8808946439885</v>
      </c>
      <c r="W120"/>
      <c r="X120"/>
      <c r="Y120" s="105"/>
    </row>
    <row r="121" spans="19:25" ht="12.75">
      <c r="S121">
        <f t="shared" si="8"/>
        <v>19.498445997580607</v>
      </c>
      <c r="T121" s="105">
        <f t="shared" si="9"/>
        <v>37.387769851754655</v>
      </c>
      <c r="U121">
        <f t="shared" si="7"/>
        <v>1397.8453344877744</v>
      </c>
      <c r="W121"/>
      <c r="X121"/>
      <c r="Y121" s="105"/>
    </row>
    <row r="122" spans="19:25" ht="12.75">
      <c r="S122">
        <f t="shared" si="8"/>
        <v>20.417379446695456</v>
      </c>
      <c r="T122" s="105">
        <f t="shared" si="9"/>
        <v>37.41403178396522</v>
      </c>
      <c r="U122">
        <f t="shared" si="7"/>
        <v>1399.80977433156</v>
      </c>
      <c r="W122"/>
      <c r="X122"/>
      <c r="Y122" s="105"/>
    </row>
    <row r="123" spans="19:25" ht="12.75">
      <c r="S123">
        <f t="shared" si="8"/>
        <v>21.379620895022494</v>
      </c>
      <c r="T123" s="105">
        <f t="shared" si="9"/>
        <v>37.44027529513299</v>
      </c>
      <c r="U123">
        <f t="shared" si="7"/>
        <v>1401.7742141753458</v>
      </c>
      <c r="W123"/>
      <c r="X123"/>
      <c r="Y123" s="105"/>
    </row>
    <row r="124" spans="19:25" ht="12.75">
      <c r="S124">
        <f t="shared" si="8"/>
        <v>22.387211385683578</v>
      </c>
      <c r="T124" s="105">
        <f t="shared" si="9"/>
        <v>37.46650042396716</v>
      </c>
      <c r="U124">
        <f t="shared" si="7"/>
        <v>1403.7386540191314</v>
      </c>
      <c r="W124"/>
      <c r="X124"/>
      <c r="Y124" s="105"/>
    </row>
    <row r="125" spans="19:25" ht="12.75">
      <c r="S125">
        <f t="shared" si="8"/>
        <v>23.442288153199414</v>
      </c>
      <c r="T125" s="105">
        <f t="shared" si="9"/>
        <v>37.49270720904156</v>
      </c>
      <c r="U125">
        <f t="shared" si="7"/>
        <v>1405.7030938629173</v>
      </c>
      <c r="W125"/>
      <c r="X125"/>
      <c r="Y125" s="105"/>
    </row>
    <row r="126" spans="19:25" ht="12.75">
      <c r="S126">
        <f t="shared" si="8"/>
        <v>24.547089156850507</v>
      </c>
      <c r="T126" s="105">
        <f t="shared" si="9"/>
        <v>37.518895688795304</v>
      </c>
      <c r="U126">
        <f t="shared" si="7"/>
        <v>1407.667533706703</v>
      </c>
      <c r="W126"/>
      <c r="X126"/>
      <c r="Y126" s="105"/>
    </row>
    <row r="127" spans="19:25" ht="12.75">
      <c r="S127">
        <f t="shared" si="8"/>
        <v>25.703957827688853</v>
      </c>
      <c r="T127" s="105">
        <f t="shared" si="9"/>
        <v>37.545065901533434</v>
      </c>
      <c r="U127">
        <f t="shared" si="7"/>
        <v>1409.6319735504887</v>
      </c>
      <c r="W127"/>
      <c r="X127"/>
      <c r="Y127" s="105"/>
    </row>
    <row r="128" spans="19:25" ht="12.75">
      <c r="S128">
        <f t="shared" si="8"/>
        <v>26.915348039269386</v>
      </c>
      <c r="T128" s="105">
        <f t="shared" si="9"/>
        <v>37.57121788542759</v>
      </c>
      <c r="U128">
        <f t="shared" si="7"/>
        <v>1411.5964133942744</v>
      </c>
      <c r="W128"/>
      <c r="X128"/>
      <c r="Y128" s="105"/>
    </row>
    <row r="129" spans="19:25" ht="12.75">
      <c r="S129">
        <f t="shared" si="8"/>
        <v>28.18382931264478</v>
      </c>
      <c r="T129" s="105">
        <f t="shared" si="9"/>
        <v>37.59735167851667</v>
      </c>
      <c r="U129">
        <f t="shared" si="7"/>
        <v>1413.5608532380602</v>
      </c>
      <c r="W129"/>
      <c r="X129"/>
      <c r="Y129" s="105"/>
    </row>
    <row r="130" spans="19:25" ht="12.75">
      <c r="S130">
        <f t="shared" si="8"/>
        <v>29.512092266664112</v>
      </c>
      <c r="T130" s="105">
        <f t="shared" si="9"/>
        <v>37.623467318707426</v>
      </c>
      <c r="U130">
        <f t="shared" si="7"/>
        <v>1415.5252930818458</v>
      </c>
      <c r="W130"/>
      <c r="X130"/>
      <c r="Y130" s="105"/>
    </row>
    <row r="131" spans="19:25" ht="12.75">
      <c r="S131">
        <f t="shared" si="8"/>
        <v>30.902954325136175</v>
      </c>
      <c r="T131" s="105">
        <f t="shared" si="9"/>
        <v>37.649564843775174</v>
      </c>
      <c r="U131">
        <f t="shared" si="7"/>
        <v>1417.4897329256316</v>
      </c>
      <c r="W131"/>
      <c r="X131"/>
      <c r="Y131" s="105"/>
    </row>
    <row r="132" spans="19:25" ht="12.75">
      <c r="S132">
        <f t="shared" si="8"/>
        <v>32.35936569296311</v>
      </c>
      <c r="T132" s="105">
        <f t="shared" si="9"/>
        <v>37.67564429136438</v>
      </c>
      <c r="U132">
        <f t="shared" si="7"/>
        <v>1419.4541727694173</v>
      </c>
      <c r="W132"/>
      <c r="X132"/>
      <c r="Y132" s="105"/>
    </row>
    <row r="133" spans="19:25" ht="12.75">
      <c r="S133">
        <f t="shared" si="8"/>
        <v>33.88441561392055</v>
      </c>
      <c r="T133" s="105">
        <f t="shared" si="9"/>
        <v>37.70170569898931</v>
      </c>
      <c r="U133">
        <f t="shared" si="7"/>
        <v>1421.418612613203</v>
      </c>
      <c r="W133"/>
      <c r="X133"/>
      <c r="Y133" s="105"/>
    </row>
    <row r="134" spans="19:25" ht="12.75">
      <c r="S134">
        <f t="shared" si="8"/>
        <v>35.48133892335786</v>
      </c>
      <c r="T134" s="105">
        <f t="shared" si="9"/>
        <v>37.727749104034665</v>
      </c>
      <c r="U134">
        <f t="shared" si="7"/>
        <v>1423.3830524569887</v>
      </c>
      <c r="W134"/>
      <c r="X134"/>
      <c r="Y134" s="105"/>
    </row>
    <row r="135" spans="19:25" ht="12.75">
      <c r="S135">
        <f t="shared" si="8"/>
        <v>37.15352290971759</v>
      </c>
      <c r="T135" s="105">
        <f t="shared" si="9"/>
        <v>37.753774543756215</v>
      </c>
      <c r="U135">
        <f aca="true" t="shared" si="10" ref="U135:U166">LOG(S135)*$H$45+$H$47</f>
        <v>1425.3474923007745</v>
      </c>
      <c r="W135"/>
      <c r="X135"/>
      <c r="Y135" s="105"/>
    </row>
    <row r="136" spans="19:25" ht="12.75">
      <c r="S136">
        <f t="shared" si="8"/>
        <v>38.90451449942841</v>
      </c>
      <c r="T136" s="105">
        <f t="shared" si="9"/>
        <v>37.779782055281366</v>
      </c>
      <c r="U136">
        <f t="shared" si="10"/>
        <v>1427.3119321445602</v>
      </c>
      <c r="W136"/>
      <c r="X136"/>
      <c r="Y136" s="105"/>
    </row>
    <row r="137" spans="19:25" ht="12.75">
      <c r="S137">
        <f t="shared" si="8"/>
        <v>40.73802778041164</v>
      </c>
      <c r="T137" s="105">
        <f t="shared" si="9"/>
        <v>37.805771675609876</v>
      </c>
      <c r="U137">
        <f t="shared" si="10"/>
        <v>1429.276371988346</v>
      </c>
      <c r="W137"/>
      <c r="X137"/>
      <c r="Y137" s="105"/>
    </row>
    <row r="138" spans="19:25" ht="12.75">
      <c r="S138">
        <f t="shared" si="8"/>
        <v>42.65795188015966</v>
      </c>
      <c r="T138" s="105">
        <f t="shared" si="9"/>
        <v>37.831743441614364</v>
      </c>
      <c r="U138">
        <f t="shared" si="10"/>
        <v>1431.2408118321316</v>
      </c>
      <c r="W138"/>
      <c r="X138"/>
      <c r="Y138" s="105"/>
    </row>
    <row r="139" spans="19:25" ht="12.75">
      <c r="S139">
        <f t="shared" si="8"/>
        <v>44.66835921509673</v>
      </c>
      <c r="T139" s="105">
        <f t="shared" si="9"/>
        <v>37.857697390041004</v>
      </c>
      <c r="U139">
        <f t="shared" si="10"/>
        <v>1433.2052516759175</v>
      </c>
      <c r="W139"/>
      <c r="X139"/>
      <c r="Y139" s="105"/>
    </row>
    <row r="140" spans="19:25" ht="12.75">
      <c r="S140">
        <f t="shared" si="8"/>
        <v>46.77351412872026</v>
      </c>
      <c r="T140" s="105">
        <f t="shared" si="9"/>
        <v>37.883633557510066</v>
      </c>
      <c r="U140">
        <f t="shared" si="10"/>
        <v>1435.169691519703</v>
      </c>
      <c r="W140"/>
      <c r="X140"/>
      <c r="Y140" s="105"/>
    </row>
    <row r="141" spans="19:25" ht="12.75">
      <c r="S141">
        <f t="shared" si="8"/>
        <v>48.97788193684508</v>
      </c>
      <c r="T141" s="105">
        <f t="shared" si="9"/>
        <v>37.90955198051658</v>
      </c>
      <c r="U141">
        <f t="shared" si="10"/>
        <v>1437.134131363489</v>
      </c>
      <c r="W141"/>
      <c r="X141"/>
      <c r="Y141" s="105"/>
    </row>
    <row r="142" spans="19:25" ht="12.75">
      <c r="S142">
        <f t="shared" si="8"/>
        <v>51.28613839913697</v>
      </c>
      <c r="T142" s="105">
        <f t="shared" si="9"/>
        <v>37.93545269543089</v>
      </c>
      <c r="U142">
        <f t="shared" si="10"/>
        <v>1439.0985712072745</v>
      </c>
      <c r="W142"/>
      <c r="X142"/>
      <c r="Y142" s="105"/>
    </row>
    <row r="143" spans="19:25" ht="12.75">
      <c r="S143">
        <f t="shared" si="8"/>
        <v>53.70317963702579</v>
      </c>
      <c r="T143" s="105">
        <f t="shared" si="9"/>
        <v>37.96133573849925</v>
      </c>
      <c r="U143">
        <f t="shared" si="10"/>
        <v>1441.0630110510604</v>
      </c>
      <c r="W143"/>
      <c r="X143"/>
      <c r="Y143" s="105"/>
    </row>
    <row r="144" spans="19:25" ht="12.75">
      <c r="S144">
        <f t="shared" si="8"/>
        <v>56.234132519035455</v>
      </c>
      <c r="T144" s="105">
        <f t="shared" si="9"/>
        <v>37.98720114584445</v>
      </c>
      <c r="U144">
        <f t="shared" si="10"/>
        <v>1443.027450894846</v>
      </c>
      <c r="W144"/>
      <c r="X144"/>
      <c r="Y144" s="105"/>
    </row>
    <row r="145" spans="19:25" ht="12.75">
      <c r="S145">
        <f t="shared" si="8"/>
        <v>58.884365535559475</v>
      </c>
      <c r="T145" s="105">
        <f t="shared" si="9"/>
        <v>38.01304895346639</v>
      </c>
      <c r="U145">
        <f t="shared" si="10"/>
        <v>1444.9918907386318</v>
      </c>
      <c r="W145"/>
      <c r="X145"/>
      <c r="Y145" s="105"/>
    </row>
    <row r="146" spans="19:25" ht="12.75">
      <c r="S146">
        <f t="shared" si="8"/>
        <v>61.659500186148826</v>
      </c>
      <c r="T146" s="105">
        <f t="shared" si="9"/>
        <v>38.03887919724262</v>
      </c>
      <c r="U146">
        <f t="shared" si="10"/>
        <v>1446.9563305824174</v>
      </c>
      <c r="W146"/>
      <c r="X146"/>
      <c r="Y146" s="105"/>
    </row>
    <row r="147" spans="19:25" ht="12.75">
      <c r="S147">
        <f t="shared" si="8"/>
        <v>64.5654229034662</v>
      </c>
      <c r="T147" s="105">
        <f t="shared" si="9"/>
        <v>38.06469191292901</v>
      </c>
      <c r="U147">
        <f t="shared" si="10"/>
        <v>1448.920770426203</v>
      </c>
      <c r="W147"/>
      <c r="X147"/>
      <c r="Y147" s="105"/>
    </row>
    <row r="148" spans="19:25" ht="12.75">
      <c r="S148">
        <f t="shared" si="8"/>
        <v>67.60829753919886</v>
      </c>
      <c r="T148" s="105">
        <f t="shared" si="9"/>
        <v>38.09048713616024</v>
      </c>
      <c r="U148">
        <f t="shared" si="10"/>
        <v>1450.8852102699889</v>
      </c>
      <c r="W148"/>
      <c r="X148"/>
      <c r="Y148" s="105"/>
    </row>
    <row r="149" spans="19:25" ht="12.75">
      <c r="S149">
        <f t="shared" si="8"/>
        <v>70.7945784384145</v>
      </c>
      <c r="T149" s="105">
        <f t="shared" si="9"/>
        <v>38.11626490245043</v>
      </c>
      <c r="U149">
        <f t="shared" si="10"/>
        <v>1452.8496501137747</v>
      </c>
      <c r="W149"/>
      <c r="X149"/>
      <c r="Y149" s="105"/>
    </row>
    <row r="150" spans="19:25" ht="12.75">
      <c r="S150">
        <f t="shared" si="8"/>
        <v>74.1310241300925</v>
      </c>
      <c r="T150" s="105">
        <f t="shared" si="9"/>
        <v>38.142025247193686</v>
      </c>
      <c r="U150">
        <f t="shared" si="10"/>
        <v>1454.8140899575603</v>
      </c>
      <c r="W150"/>
      <c r="X150"/>
      <c r="Y150" s="105"/>
    </row>
    <row r="151" spans="19:25" ht="12.75">
      <c r="S151">
        <f t="shared" si="8"/>
        <v>77.62471166286996</v>
      </c>
      <c r="T151" s="105">
        <f t="shared" si="9"/>
        <v>38.16776820566466</v>
      </c>
      <c r="U151">
        <f t="shared" si="10"/>
        <v>1456.778529801346</v>
      </c>
      <c r="W151"/>
      <c r="X151"/>
      <c r="Y151" s="105"/>
    </row>
    <row r="152" spans="19:25" ht="12.75">
      <c r="S152">
        <f t="shared" si="8"/>
        <v>81.28305161641075</v>
      </c>
      <c r="T152" s="105">
        <f t="shared" si="9"/>
        <v>38.193493813019145</v>
      </c>
      <c r="U152">
        <f t="shared" si="10"/>
        <v>1458.7429696451318</v>
      </c>
      <c r="W152"/>
      <c r="X152"/>
      <c r="Y152" s="105"/>
    </row>
    <row r="153" spans="19:25" ht="12.75">
      <c r="S153">
        <f t="shared" si="8"/>
        <v>85.11380382023852</v>
      </c>
      <c r="T153" s="105">
        <f t="shared" si="9"/>
        <v>38.21920210429461</v>
      </c>
      <c r="U153">
        <f t="shared" si="10"/>
        <v>1460.7074094889176</v>
      </c>
      <c r="W153"/>
      <c r="X153"/>
      <c r="Y153" s="105"/>
    </row>
    <row r="154" spans="19:25" ht="12.75">
      <c r="S154">
        <f t="shared" si="8"/>
        <v>89.12509381337547</v>
      </c>
      <c r="T154" s="105">
        <f t="shared" si="9"/>
        <v>38.24489311441076</v>
      </c>
      <c r="U154">
        <f t="shared" si="10"/>
        <v>1462.6718493327032</v>
      </c>
      <c r="W154"/>
      <c r="X154"/>
      <c r="Y154" s="105"/>
    </row>
    <row r="155" spans="19:25" ht="12.75">
      <c r="S155">
        <f t="shared" si="8"/>
        <v>93.32543007970007</v>
      </c>
      <c r="T155" s="105">
        <f t="shared" si="9"/>
        <v>38.27056687817008</v>
      </c>
      <c r="U155">
        <f t="shared" si="10"/>
        <v>1464.6362891764888</v>
      </c>
      <c r="W155"/>
      <c r="X155"/>
      <c r="Y155" s="105"/>
    </row>
    <row r="156" spans="19:25" ht="12.75">
      <c r="S156">
        <f t="shared" si="8"/>
        <v>97.72372209558209</v>
      </c>
      <c r="T156" s="105">
        <f t="shared" si="9"/>
        <v>38.29622343025843</v>
      </c>
      <c r="U156">
        <f t="shared" si="10"/>
        <v>1466.6007290202747</v>
      </c>
      <c r="W156"/>
      <c r="X156"/>
      <c r="Y156" s="105"/>
    </row>
    <row r="157" spans="19:25" ht="12.75">
      <c r="S157">
        <f t="shared" si="8"/>
        <v>102.3292992280765</v>
      </c>
      <c r="T157" s="105">
        <f t="shared" si="9"/>
        <v>38.32186280524552</v>
      </c>
      <c r="U157">
        <f t="shared" si="10"/>
        <v>1468.5651688640605</v>
      </c>
      <c r="W157"/>
      <c r="X157"/>
      <c r="Y157" s="105"/>
    </row>
    <row r="158" spans="19:25" ht="12.75">
      <c r="S158">
        <f t="shared" si="8"/>
        <v>107.15193052376178</v>
      </c>
      <c r="T158" s="105">
        <f t="shared" si="9"/>
        <v>38.34748503758553</v>
      </c>
      <c r="U158">
        <f t="shared" si="10"/>
        <v>1470.5296087078461</v>
      </c>
      <c r="W158"/>
      <c r="X158"/>
      <c r="Y158" s="105"/>
    </row>
    <row r="159" spans="19:25" ht="12.75">
      <c r="S159">
        <f t="shared" si="8"/>
        <v>112.20184543019754</v>
      </c>
      <c r="T159" s="105">
        <f t="shared" si="9"/>
        <v>38.373090161617576</v>
      </c>
      <c r="U159">
        <f t="shared" si="10"/>
        <v>1472.4940485516317</v>
      </c>
      <c r="W159"/>
      <c r="X159"/>
      <c r="Y159" s="105"/>
    </row>
    <row r="160" spans="19:25" ht="12.75">
      <c r="S160">
        <f t="shared" si="8"/>
        <v>117.4897554939542</v>
      </c>
      <c r="T160" s="105">
        <f t="shared" si="9"/>
        <v>38.39867821156631</v>
      </c>
      <c r="U160">
        <f t="shared" si="10"/>
        <v>1474.4584883954176</v>
      </c>
      <c r="W160"/>
      <c r="X160"/>
      <c r="Y160" s="105"/>
    </row>
    <row r="161" spans="19:25" ht="12.75">
      <c r="S161">
        <f t="shared" si="8"/>
        <v>123.02687708123948</v>
      </c>
      <c r="T161" s="105">
        <f t="shared" si="9"/>
        <v>38.424249221542425</v>
      </c>
      <c r="U161">
        <f t="shared" si="10"/>
        <v>1476.4229282392034</v>
      </c>
      <c r="W161"/>
      <c r="X161"/>
      <c r="Y161" s="105"/>
    </row>
    <row r="162" spans="19:25" ht="12.75">
      <c r="S162">
        <f t="shared" si="8"/>
        <v>128.8249551693148</v>
      </c>
      <c r="T162" s="105">
        <f t="shared" si="9"/>
        <v>38.44980322554316</v>
      </c>
      <c r="U162">
        <f t="shared" si="10"/>
        <v>1478.387368082989</v>
      </c>
      <c r="W162"/>
      <c r="X162"/>
      <c r="Y162" s="105"/>
    </row>
    <row r="163" spans="19:25" ht="12.75">
      <c r="S163">
        <f t="shared" si="8"/>
        <v>134.89628825916682</v>
      </c>
      <c r="T163" s="105">
        <f t="shared" si="9"/>
        <v>38.475340257452885</v>
      </c>
      <c r="U163">
        <f t="shared" si="10"/>
        <v>1480.3518079267747</v>
      </c>
      <c r="W163"/>
      <c r="X163"/>
      <c r="Y163" s="105"/>
    </row>
    <row r="164" spans="19:25" ht="12.75">
      <c r="S164">
        <f t="shared" si="8"/>
        <v>141.25375446227696</v>
      </c>
      <c r="T164" s="105">
        <f t="shared" si="9"/>
        <v>38.50086035104359</v>
      </c>
      <c r="U164">
        <f t="shared" si="10"/>
        <v>1482.3162477705605</v>
      </c>
      <c r="W164"/>
      <c r="X164"/>
      <c r="Y164" s="105"/>
    </row>
    <row r="165" spans="19:25" ht="12.75">
      <c r="S165">
        <f t="shared" si="8"/>
        <v>147.91083881682235</v>
      </c>
      <c r="T165" s="105">
        <f t="shared" si="9"/>
        <v>38.52636353997541</v>
      </c>
      <c r="U165">
        <f t="shared" si="10"/>
        <v>1484.280687614346</v>
      </c>
      <c r="W165"/>
      <c r="X165"/>
      <c r="Y165" s="105"/>
    </row>
    <row r="166" spans="19:25" ht="12.75">
      <c r="S166">
        <f t="shared" si="8"/>
        <v>154.88166189124982</v>
      </c>
      <c r="T166" s="105">
        <f t="shared" si="9"/>
        <v>38.55184985779712</v>
      </c>
      <c r="U166">
        <f t="shared" si="10"/>
        <v>1486.245127458132</v>
      </c>
      <c r="W166"/>
      <c r="X166"/>
      <c r="Y166" s="105"/>
    </row>
    <row r="167" spans="19:25" ht="12.75">
      <c r="S167">
        <f t="shared" si="8"/>
        <v>162.18100973589478</v>
      </c>
      <c r="T167" s="105">
        <f t="shared" si="9"/>
        <v>38.57731933794671</v>
      </c>
      <c r="U167">
        <f aca="true" t="shared" si="11" ref="U167:U198">LOG(S167)*$H$45+$H$47</f>
        <v>1488.2095673019176</v>
      </c>
      <c r="W167"/>
      <c r="X167"/>
      <c r="Y167" s="105"/>
    </row>
    <row r="168" spans="19:25" ht="12.75">
      <c r="S168">
        <f t="shared" si="8"/>
        <v>169.8243652461763</v>
      </c>
      <c r="T168" s="105">
        <f t="shared" si="9"/>
        <v>38.60277201375185</v>
      </c>
      <c r="U168">
        <f t="shared" si="11"/>
        <v>1490.1740071457034</v>
      </c>
      <c r="W168"/>
      <c r="X168"/>
      <c r="Y168" s="105"/>
    </row>
    <row r="169" spans="19:25" ht="12.75">
      <c r="S169">
        <f t="shared" si="8"/>
        <v>177.82794100389427</v>
      </c>
      <c r="T169" s="105">
        <f t="shared" si="9"/>
        <v>38.6282079184304</v>
      </c>
      <c r="U169">
        <f t="shared" si="11"/>
        <v>1492.138446989489</v>
      </c>
      <c r="W169"/>
      <c r="X169"/>
      <c r="Y169" s="105"/>
    </row>
    <row r="170" spans="19:25" ht="12.75">
      <c r="S170">
        <f t="shared" si="8"/>
        <v>186.20871366628884</v>
      </c>
      <c r="T170" s="105">
        <f t="shared" si="9"/>
        <v>38.653627085090925</v>
      </c>
      <c r="U170">
        <f t="shared" si="11"/>
        <v>1494.1028868332749</v>
      </c>
      <c r="W170"/>
      <c r="X170"/>
      <c r="Y170" s="105"/>
    </row>
    <row r="171" spans="19:25" ht="12.75">
      <c r="S171">
        <f aca="true" t="shared" si="12" ref="S171:S206">S170*$R$5</f>
        <v>194.98445997580674</v>
      </c>
      <c r="T171" s="105">
        <f aca="true" t="shared" si="13" ref="T171:T206">U171^0.5</f>
        <v>38.679029546733204</v>
      </c>
      <c r="U171">
        <f t="shared" si="11"/>
        <v>1496.0673266770605</v>
      </c>
      <c r="W171"/>
      <c r="X171"/>
      <c r="Y171" s="105"/>
    </row>
    <row r="172" spans="19:25" ht="12.75">
      <c r="S172">
        <f t="shared" si="12"/>
        <v>204.17379446695526</v>
      </c>
      <c r="T172" s="105">
        <f t="shared" si="13"/>
        <v>38.704415336248736</v>
      </c>
      <c r="U172">
        <f t="shared" si="11"/>
        <v>1498.0317665208463</v>
      </c>
      <c r="W172"/>
      <c r="X172"/>
      <c r="Y172" s="105"/>
    </row>
    <row r="173" spans="19:25" ht="12.75">
      <c r="S173">
        <f t="shared" si="12"/>
        <v>213.79620895022566</v>
      </c>
      <c r="T173" s="105">
        <f t="shared" si="13"/>
        <v>38.729784486421195</v>
      </c>
      <c r="U173">
        <f t="shared" si="11"/>
        <v>1499.996206364632</v>
      </c>
      <c r="W173"/>
      <c r="X173"/>
      <c r="Y173" s="105"/>
    </row>
    <row r="174" spans="19:25" ht="12.75">
      <c r="S174">
        <f t="shared" si="12"/>
        <v>223.87211385683653</v>
      </c>
      <c r="T174" s="105">
        <f t="shared" si="13"/>
        <v>38.755137029926985</v>
      </c>
      <c r="U174">
        <f t="shared" si="11"/>
        <v>1501.9606462084178</v>
      </c>
      <c r="W174"/>
      <c r="X174"/>
      <c r="Y174" s="105"/>
    </row>
    <row r="175" spans="19:25" ht="12.75">
      <c r="S175">
        <f t="shared" si="12"/>
        <v>234.42288153199493</v>
      </c>
      <c r="T175" s="105">
        <f t="shared" si="13"/>
        <v>38.78047299933568</v>
      </c>
      <c r="U175">
        <f t="shared" si="11"/>
        <v>1503.9250860522034</v>
      </c>
      <c r="W175"/>
      <c r="X175"/>
      <c r="Y175" s="105"/>
    </row>
    <row r="176" spans="19:25" ht="12.75">
      <c r="S176">
        <f t="shared" si="12"/>
        <v>245.4708915685059</v>
      </c>
      <c r="T176" s="105">
        <f t="shared" si="13"/>
        <v>38.80579242711053</v>
      </c>
      <c r="U176">
        <f t="shared" si="11"/>
        <v>1505.8895258959892</v>
      </c>
      <c r="W176"/>
      <c r="X176"/>
      <c r="Y176" s="105"/>
    </row>
    <row r="177" spans="19:25" ht="12.75">
      <c r="S177">
        <f t="shared" si="12"/>
        <v>257.0395782768894</v>
      </c>
      <c r="T177" s="105">
        <f t="shared" si="13"/>
        <v>38.83109534560897</v>
      </c>
      <c r="U177">
        <f t="shared" si="11"/>
        <v>1507.8539657397748</v>
      </c>
      <c r="W177"/>
      <c r="X177"/>
      <c r="Y177" s="105"/>
    </row>
    <row r="178" spans="19:25" ht="12.75">
      <c r="S178">
        <f t="shared" si="12"/>
        <v>269.15348039269475</v>
      </c>
      <c r="T178" s="105">
        <f t="shared" si="13"/>
        <v>38.856381787083066</v>
      </c>
      <c r="U178">
        <f t="shared" si="11"/>
        <v>1509.8184055835607</v>
      </c>
      <c r="W178"/>
      <c r="X178"/>
      <c r="Y178" s="105"/>
    </row>
    <row r="179" spans="19:25" ht="12.75">
      <c r="S179">
        <f t="shared" si="12"/>
        <v>281.8382931264487</v>
      </c>
      <c r="T179" s="105">
        <f t="shared" si="13"/>
        <v>38.88165178368</v>
      </c>
      <c r="U179">
        <f t="shared" si="11"/>
        <v>1511.7828454273463</v>
      </c>
      <c r="W179"/>
      <c r="X179"/>
      <c r="Y179" s="105"/>
    </row>
    <row r="180" spans="19:25" ht="12.75">
      <c r="S180">
        <f t="shared" si="12"/>
        <v>295.12092266664206</v>
      </c>
      <c r="T180" s="105">
        <f t="shared" si="13"/>
        <v>38.906905367442576</v>
      </c>
      <c r="U180">
        <f t="shared" si="11"/>
        <v>1513.7472852711321</v>
      </c>
      <c r="W180"/>
      <c r="X180"/>
      <c r="Y180" s="105"/>
    </row>
    <row r="181" spans="19:25" ht="12.75">
      <c r="S181">
        <f t="shared" si="12"/>
        <v>309.0295432513627</v>
      </c>
      <c r="T181" s="105">
        <f t="shared" si="13"/>
        <v>38.93214257030966</v>
      </c>
      <c r="U181">
        <f t="shared" si="11"/>
        <v>1515.7117251149177</v>
      </c>
      <c r="W181"/>
      <c r="X181"/>
      <c r="Y181" s="105"/>
    </row>
    <row r="182" spans="19:25" ht="12.75">
      <c r="S182">
        <f t="shared" si="12"/>
        <v>323.5936569296321</v>
      </c>
      <c r="T182" s="105">
        <f t="shared" si="13"/>
        <v>38.95736342411667</v>
      </c>
      <c r="U182">
        <f t="shared" si="11"/>
        <v>1517.6761649587036</v>
      </c>
      <c r="W182"/>
      <c r="X182"/>
      <c r="Y182" s="105"/>
    </row>
    <row r="183" spans="19:25" ht="12.75">
      <c r="S183">
        <f t="shared" si="12"/>
        <v>338.84415613920663</v>
      </c>
      <c r="T183" s="105">
        <f t="shared" si="13"/>
        <v>38.98256796059604</v>
      </c>
      <c r="U183">
        <f t="shared" si="11"/>
        <v>1519.6406048024892</v>
      </c>
      <c r="W183"/>
      <c r="X183"/>
      <c r="Y183" s="105"/>
    </row>
    <row r="184" spans="19:25" ht="12.75">
      <c r="S184">
        <f t="shared" si="12"/>
        <v>354.81338923357976</v>
      </c>
      <c r="T184" s="105">
        <f t="shared" si="13"/>
        <v>39.007756211377696</v>
      </c>
      <c r="U184">
        <f t="shared" si="11"/>
        <v>1521.605044646275</v>
      </c>
      <c r="W184"/>
      <c r="X184"/>
      <c r="Y184" s="105"/>
    </row>
    <row r="185" spans="19:25" ht="12.75">
      <c r="S185">
        <f t="shared" si="12"/>
        <v>371.5352290971771</v>
      </c>
      <c r="T185" s="105">
        <f t="shared" si="13"/>
        <v>39.03292820798948</v>
      </c>
      <c r="U185">
        <f t="shared" si="11"/>
        <v>1523.5694844900606</v>
      </c>
      <c r="W185"/>
      <c r="X185"/>
      <c r="Y185" s="105"/>
    </row>
    <row r="186" spans="19:25" ht="12.75">
      <c r="S186">
        <f t="shared" si="12"/>
        <v>389.0451449942854</v>
      </c>
      <c r="T186" s="105">
        <f t="shared" si="13"/>
        <v>39.05808398185766</v>
      </c>
      <c r="U186">
        <f t="shared" si="11"/>
        <v>1525.5339243338465</v>
      </c>
      <c r="W186"/>
      <c r="X186"/>
      <c r="Y186" s="105"/>
    </row>
    <row r="187" spans="19:25" ht="12.75">
      <c r="S187">
        <f t="shared" si="12"/>
        <v>407.3802778041178</v>
      </c>
      <c r="T187" s="105">
        <f t="shared" si="13"/>
        <v>39.08322356430739</v>
      </c>
      <c r="U187">
        <f t="shared" si="11"/>
        <v>1527.498364177632</v>
      </c>
      <c r="W187"/>
      <c r="X187"/>
      <c r="Y187" s="105"/>
    </row>
    <row r="188" spans="19:25" ht="12.75">
      <c r="S188">
        <f t="shared" si="12"/>
        <v>426.579518801598</v>
      </c>
      <c r="T188" s="105">
        <f t="shared" si="13"/>
        <v>39.108346986563085</v>
      </c>
      <c r="U188">
        <f t="shared" si="11"/>
        <v>1529.462804021418</v>
      </c>
      <c r="W188"/>
      <c r="X188"/>
      <c r="Y188" s="105"/>
    </row>
    <row r="189" spans="19:25" ht="12.75">
      <c r="S189">
        <f t="shared" si="12"/>
        <v>446.68359215096876</v>
      </c>
      <c r="T189" s="105">
        <f t="shared" si="13"/>
        <v>39.133454279748975</v>
      </c>
      <c r="U189">
        <f t="shared" si="11"/>
        <v>1531.4272438652035</v>
      </c>
      <c r="W189"/>
      <c r="X189"/>
      <c r="Y189" s="105"/>
    </row>
    <row r="190" spans="19:25" ht="12.75">
      <c r="S190">
        <f t="shared" si="12"/>
        <v>467.73514128720416</v>
      </c>
      <c r="T190" s="105">
        <f t="shared" si="13"/>
        <v>39.15854547488951</v>
      </c>
      <c r="U190">
        <f t="shared" si="11"/>
        <v>1533.3916837089894</v>
      </c>
      <c r="W190"/>
      <c r="X190"/>
      <c r="Y190" s="105"/>
    </row>
    <row r="191" spans="19:25" ht="12.75">
      <c r="S191">
        <f t="shared" si="12"/>
        <v>489.7788193684525</v>
      </c>
      <c r="T191" s="105">
        <f t="shared" si="13"/>
        <v>39.18362060290977</v>
      </c>
      <c r="U191">
        <f t="shared" si="11"/>
        <v>1535.356123552775</v>
      </c>
      <c r="W191"/>
      <c r="X191"/>
      <c r="Y191" s="105"/>
    </row>
    <row r="192" spans="19:25" ht="12.75">
      <c r="S192">
        <f t="shared" si="12"/>
        <v>512.8613839913716</v>
      </c>
      <c r="T192" s="105">
        <f t="shared" si="13"/>
        <v>39.20867969463599</v>
      </c>
      <c r="U192">
        <f t="shared" si="11"/>
        <v>1537.3205633965608</v>
      </c>
      <c r="W192"/>
      <c r="X192"/>
      <c r="Y192" s="105"/>
    </row>
    <row r="193" spans="19:25" ht="12.75">
      <c r="S193">
        <f t="shared" si="12"/>
        <v>537.0317963702598</v>
      </c>
      <c r="T193" s="105">
        <f t="shared" si="13"/>
        <v>39.233722780795944</v>
      </c>
      <c r="U193">
        <f t="shared" si="11"/>
        <v>1539.2850032403464</v>
      </c>
      <c r="W193"/>
      <c r="X193"/>
      <c r="Y193" s="105"/>
    </row>
    <row r="194" spans="19:25" ht="12.75">
      <c r="S194">
        <f t="shared" si="12"/>
        <v>562.3413251903565</v>
      </c>
      <c r="T194" s="105">
        <f t="shared" si="13"/>
        <v>39.25874989201939</v>
      </c>
      <c r="U194">
        <f t="shared" si="11"/>
        <v>1541.2494430841323</v>
      </c>
      <c r="W194"/>
      <c r="X194"/>
      <c r="Y194" s="105"/>
    </row>
    <row r="195" spans="19:25" ht="12.75">
      <c r="S195">
        <f t="shared" si="12"/>
        <v>588.8436553555969</v>
      </c>
      <c r="T195" s="105">
        <f t="shared" si="13"/>
        <v>39.28376105883852</v>
      </c>
      <c r="U195">
        <f t="shared" si="11"/>
        <v>1543.213882927918</v>
      </c>
      <c r="W195"/>
      <c r="X195"/>
      <c r="Y195" s="105"/>
    </row>
    <row r="196" spans="19:25" ht="12.75">
      <c r="S196">
        <f t="shared" si="12"/>
        <v>616.5950018614905</v>
      </c>
      <c r="T196" s="105">
        <f t="shared" si="13"/>
        <v>39.30875631168841</v>
      </c>
      <c r="U196">
        <f t="shared" si="11"/>
        <v>1545.1783227717037</v>
      </c>
      <c r="W196"/>
      <c r="X196"/>
      <c r="Y196" s="105"/>
    </row>
    <row r="197" spans="19:25" ht="12.75">
      <c r="S197">
        <f t="shared" si="12"/>
        <v>645.6542290346642</v>
      </c>
      <c r="T197" s="105">
        <f t="shared" si="13"/>
        <v>39.33373568090742</v>
      </c>
      <c r="U197">
        <f t="shared" si="11"/>
        <v>1547.1427626154893</v>
      </c>
      <c r="W197"/>
      <c r="X197"/>
      <c r="Y197" s="105"/>
    </row>
    <row r="198" spans="19:25" ht="12.75">
      <c r="S198">
        <f t="shared" si="12"/>
        <v>676.082975391991</v>
      </c>
      <c r="T198" s="105">
        <f t="shared" si="13"/>
        <v>39.358699196737625</v>
      </c>
      <c r="U198">
        <f t="shared" si="11"/>
        <v>1549.107202459275</v>
      </c>
      <c r="W198"/>
      <c r="X198"/>
      <c r="Y198" s="105"/>
    </row>
    <row r="199" spans="19:25" ht="12.75">
      <c r="S199">
        <f t="shared" si="12"/>
        <v>707.9457843841476</v>
      </c>
      <c r="T199" s="105">
        <f t="shared" si="13"/>
        <v>39.38364688932528</v>
      </c>
      <c r="U199">
        <f aca="true" t="shared" si="14" ref="U199:U206">LOG(S199)*$H$45+$H$47</f>
        <v>1551.0716423030608</v>
      </c>
      <c r="W199"/>
      <c r="X199"/>
      <c r="Y199" s="105"/>
    </row>
    <row r="200" spans="19:25" ht="12.75">
      <c r="S200">
        <f t="shared" si="12"/>
        <v>741.3102413009277</v>
      </c>
      <c r="T200" s="105">
        <f t="shared" si="13"/>
        <v>39.4085787887212</v>
      </c>
      <c r="U200">
        <f t="shared" si="14"/>
        <v>1553.0360821468466</v>
      </c>
      <c r="W200"/>
      <c r="X200"/>
      <c r="Y200" s="105"/>
    </row>
    <row r="201" spans="19:25" ht="12.75">
      <c r="S201">
        <f t="shared" si="12"/>
        <v>776.2471166287024</v>
      </c>
      <c r="T201" s="105">
        <f t="shared" si="13"/>
        <v>39.43349492488121</v>
      </c>
      <c r="U201">
        <f t="shared" si="14"/>
        <v>1555.0005219906323</v>
      </c>
      <c r="W201"/>
      <c r="X201"/>
      <c r="Y201" s="105"/>
    </row>
    <row r="202" spans="19:25" ht="12.75">
      <c r="S202">
        <f t="shared" si="12"/>
        <v>812.8305161641105</v>
      </c>
      <c r="T202" s="105">
        <f t="shared" si="13"/>
        <v>39.45839532766656</v>
      </c>
      <c r="U202">
        <f t="shared" si="14"/>
        <v>1556.9649618344179</v>
      </c>
      <c r="W202"/>
      <c r="X202"/>
      <c r="Y202" s="105"/>
    </row>
    <row r="203" spans="19:25" ht="12.75">
      <c r="S203">
        <f t="shared" si="12"/>
        <v>851.1380382023883</v>
      </c>
      <c r="T203" s="105">
        <f t="shared" si="13"/>
        <v>39.48328002684432</v>
      </c>
      <c r="U203">
        <f t="shared" si="14"/>
        <v>1558.9294016782037</v>
      </c>
      <c r="W203"/>
      <c r="X203"/>
      <c r="Y203" s="105"/>
    </row>
    <row r="204" spans="19:25" ht="12.75">
      <c r="S204">
        <f t="shared" si="12"/>
        <v>891.250938133758</v>
      </c>
      <c r="T204" s="105">
        <f t="shared" si="13"/>
        <v>39.508149052087845</v>
      </c>
      <c r="U204">
        <f t="shared" si="14"/>
        <v>1560.8938415219895</v>
      </c>
      <c r="W204"/>
      <c r="X204"/>
      <c r="Y204" s="105"/>
    </row>
    <row r="205" spans="19:25" ht="12.75">
      <c r="S205">
        <f t="shared" si="12"/>
        <v>933.2543007970042</v>
      </c>
      <c r="T205" s="105">
        <f t="shared" si="13"/>
        <v>39.53300243297712</v>
      </c>
      <c r="U205">
        <f t="shared" si="14"/>
        <v>1562.8582813657752</v>
      </c>
      <c r="W205"/>
      <c r="X205"/>
      <c r="Y205" s="105"/>
    </row>
    <row r="206" spans="19:25" ht="12.75">
      <c r="S206">
        <f t="shared" si="12"/>
        <v>977.2372209558246</v>
      </c>
      <c r="T206" s="105">
        <f t="shared" si="13"/>
        <v>39.557840198999244</v>
      </c>
      <c r="U206">
        <f t="shared" si="14"/>
        <v>1564.8227212095608</v>
      </c>
      <c r="W206"/>
      <c r="X206"/>
      <c r="Y206" s="105"/>
    </row>
    <row r="207" spans="19:25" ht="12.75">
      <c r="S207"/>
      <c r="T207" s="105"/>
      <c r="U207"/>
      <c r="W207"/>
      <c r="X207"/>
      <c r="Y207" s="105"/>
    </row>
    <row r="208" spans="19:25" ht="12.75">
      <c r="S208"/>
      <c r="U208" s="105"/>
      <c r="V208"/>
      <c r="W208"/>
      <c r="X208"/>
      <c r="Y208" s="105"/>
    </row>
    <row r="209" spans="19:25" ht="12.75">
      <c r="S209"/>
      <c r="U209" s="105"/>
      <c r="V209"/>
      <c r="W209"/>
      <c r="X209"/>
      <c r="Y209" s="105"/>
    </row>
    <row r="210" spans="19:25" ht="12.75">
      <c r="S210"/>
      <c r="U210" s="105"/>
      <c r="V210"/>
      <c r="W210"/>
      <c r="X210"/>
      <c r="Y210" s="105"/>
    </row>
    <row r="211" spans="19:25" ht="12.75">
      <c r="S211"/>
      <c r="U211" s="105"/>
      <c r="V211"/>
      <c r="W211"/>
      <c r="X211"/>
      <c r="Y211" s="105"/>
    </row>
    <row r="212" spans="19:25" ht="12.75">
      <c r="S212"/>
      <c r="U212" s="105"/>
      <c r="V212"/>
      <c r="W212"/>
      <c r="X212"/>
      <c r="Y212" s="105"/>
    </row>
    <row r="213" spans="19:25" ht="12.75">
      <c r="S213"/>
      <c r="U213" s="105"/>
      <c r="V213"/>
      <c r="W213"/>
      <c r="X213"/>
      <c r="Y213" s="105"/>
    </row>
    <row r="214" spans="19:25" ht="12.75">
      <c r="S214"/>
      <c r="U214" s="105"/>
      <c r="V214"/>
      <c r="W214"/>
      <c r="X214"/>
      <c r="Y214" s="105"/>
    </row>
    <row r="215" spans="19:25" ht="12.75">
      <c r="S215"/>
      <c r="U215" s="105"/>
      <c r="V215"/>
      <c r="W215"/>
      <c r="X215"/>
      <c r="Y215" s="105"/>
    </row>
    <row r="216" spans="19:25" ht="12.75">
      <c r="S216"/>
      <c r="U216" s="105"/>
      <c r="V216"/>
      <c r="W216"/>
      <c r="X216"/>
      <c r="Y216" s="105"/>
    </row>
    <row r="217" spans="19:25" ht="12.75">
      <c r="S217"/>
      <c r="U217" s="105"/>
      <c r="V217"/>
      <c r="W217"/>
      <c r="X217"/>
      <c r="Y217" s="105"/>
    </row>
    <row r="218" spans="19:25" ht="12.75">
      <c r="S218"/>
      <c r="U218" s="105"/>
      <c r="V218"/>
      <c r="W218"/>
      <c r="X218"/>
      <c r="Y218" s="105"/>
    </row>
    <row r="219" spans="19:25" ht="12.75">
      <c r="S219"/>
      <c r="U219" s="105"/>
      <c r="V219"/>
      <c r="W219"/>
      <c r="X219"/>
      <c r="Y219" s="105"/>
    </row>
    <row r="220" spans="19:25" ht="12.75">
      <c r="S220"/>
      <c r="U220" s="105"/>
      <c r="V220"/>
      <c r="W220"/>
      <c r="X220"/>
      <c r="Y220" s="105"/>
    </row>
    <row r="221" spans="19:25" ht="12.75">
      <c r="S221"/>
      <c r="U221" s="105"/>
      <c r="V221"/>
      <c r="W221"/>
      <c r="X221"/>
      <c r="Y221" s="105"/>
    </row>
    <row r="222" spans="19:25" ht="12.75">
      <c r="S222"/>
      <c r="U222" s="105"/>
      <c r="V222"/>
      <c r="W222"/>
      <c r="X222"/>
      <c r="Y222" s="105"/>
    </row>
    <row r="223" spans="19:25" ht="12.75">
      <c r="S223"/>
      <c r="U223" s="105"/>
      <c r="V223"/>
      <c r="W223"/>
      <c r="X223"/>
      <c r="Y223" s="105"/>
    </row>
    <row r="224" spans="19:25" ht="12.75">
      <c r="S224"/>
      <c r="U224" s="105"/>
      <c r="V224"/>
      <c r="W224"/>
      <c r="X224"/>
      <c r="Y224" s="105"/>
    </row>
    <row r="225" spans="19:25" ht="12.75">
      <c r="S225"/>
      <c r="U225" s="105"/>
      <c r="V225"/>
      <c r="W225"/>
      <c r="X225"/>
      <c r="Y225" s="105"/>
    </row>
    <row r="226" spans="19:25" ht="12.75">
      <c r="S226"/>
      <c r="U226" s="105"/>
      <c r="V226"/>
      <c r="W226"/>
      <c r="X226"/>
      <c r="Y226" s="105"/>
    </row>
    <row r="227" spans="19:25" ht="12.75">
      <c r="S227"/>
      <c r="U227" s="105"/>
      <c r="V227"/>
      <c r="W227"/>
      <c r="X227"/>
      <c r="Y227" s="105"/>
    </row>
    <row r="228" spans="19:25" ht="12.75">
      <c r="S228"/>
      <c r="U228" s="105"/>
      <c r="V228"/>
      <c r="W228"/>
      <c r="X228"/>
      <c r="Y228" s="105"/>
    </row>
    <row r="229" spans="19:25" ht="12.75">
      <c r="S229"/>
      <c r="U229" s="105"/>
      <c r="V229"/>
      <c r="W229"/>
      <c r="X229"/>
      <c r="Y229" s="105"/>
    </row>
    <row r="230" spans="19:25" ht="12.75">
      <c r="S230"/>
      <c r="U230" s="105"/>
      <c r="V230"/>
      <c r="W230"/>
      <c r="X230"/>
      <c r="Y230" s="105"/>
    </row>
    <row r="231" spans="19:25" ht="12.75">
      <c r="S231"/>
      <c r="U231" s="105"/>
      <c r="V231"/>
      <c r="W231"/>
      <c r="X231"/>
      <c r="Y231" s="105"/>
    </row>
    <row r="232" spans="19:25" ht="12.75">
      <c r="S232"/>
      <c r="U232" s="105"/>
      <c r="V232"/>
      <c r="W232"/>
      <c r="X232"/>
      <c r="Y232" s="105"/>
    </row>
    <row r="233" spans="19:25" ht="12.75">
      <c r="S233"/>
      <c r="U233" s="105"/>
      <c r="V233"/>
      <c r="W233"/>
      <c r="X233"/>
      <c r="Y233" s="105"/>
    </row>
    <row r="234" spans="19:25" ht="12.75">
      <c r="S234"/>
      <c r="U234" s="105"/>
      <c r="V234"/>
      <c r="W234"/>
      <c r="X234"/>
      <c r="Y234" s="105"/>
    </row>
    <row r="235" spans="19:25" ht="12.75">
      <c r="S235"/>
      <c r="U235" s="105"/>
      <c r="V235"/>
      <c r="W235"/>
      <c r="X235"/>
      <c r="Y235" s="105"/>
    </row>
    <row r="236" spans="19:25" ht="12.75">
      <c r="S236"/>
      <c r="U236" s="105"/>
      <c r="V236"/>
      <c r="W236"/>
      <c r="X236"/>
      <c r="Y236" s="105"/>
    </row>
    <row r="237" spans="19:25" ht="12.75">
      <c r="S237"/>
      <c r="U237" s="105"/>
      <c r="V237"/>
      <c r="W237"/>
      <c r="X237"/>
      <c r="Y237" s="105"/>
    </row>
    <row r="238" spans="19:25" ht="12.75">
      <c r="S238"/>
      <c r="U238" s="105"/>
      <c r="V238"/>
      <c r="W238"/>
      <c r="X238"/>
      <c r="Y238" s="105"/>
    </row>
    <row r="239" spans="19:25" ht="12.75">
      <c r="S239"/>
      <c r="U239" s="105"/>
      <c r="V239"/>
      <c r="W239"/>
      <c r="X239"/>
      <c r="Y239" s="105"/>
    </row>
    <row r="240" spans="19:25" ht="12.75">
      <c r="S240"/>
      <c r="U240" s="105"/>
      <c r="V240"/>
      <c r="W240"/>
      <c r="X240"/>
      <c r="Y240" s="105"/>
    </row>
    <row r="241" spans="19:25" ht="12.75">
      <c r="S241"/>
      <c r="U241" s="105"/>
      <c r="V241"/>
      <c r="W241"/>
      <c r="X241"/>
      <c r="Y241" s="105"/>
    </row>
    <row r="242" spans="19:25" ht="12.75">
      <c r="S242"/>
      <c r="U242" s="105"/>
      <c r="V242"/>
      <c r="W242"/>
      <c r="X242"/>
      <c r="Y242" s="105"/>
    </row>
    <row r="243" spans="19:25" ht="12.75">
      <c r="S243"/>
      <c r="U243" s="105"/>
      <c r="V243"/>
      <c r="W243"/>
      <c r="X243"/>
      <c r="Y243" s="105"/>
    </row>
    <row r="244" spans="19:25" ht="12.75">
      <c r="S244"/>
      <c r="U244" s="105"/>
      <c r="V244"/>
      <c r="W244"/>
      <c r="X244"/>
      <c r="Y244" s="105"/>
    </row>
    <row r="245" spans="19:25" ht="12.75">
      <c r="S245"/>
      <c r="U245" s="105"/>
      <c r="V245"/>
      <c r="W245"/>
      <c r="X245"/>
      <c r="Y245" s="105"/>
    </row>
    <row r="246" spans="19:25" ht="12.75">
      <c r="S246"/>
      <c r="U246" s="105"/>
      <c r="V246"/>
      <c r="W246"/>
      <c r="X246"/>
      <c r="Y246" s="105"/>
    </row>
    <row r="247" spans="19:25" ht="12.75">
      <c r="S247"/>
      <c r="U247" s="105"/>
      <c r="V247"/>
      <c r="W247"/>
      <c r="X247"/>
      <c r="Y247" s="105"/>
    </row>
    <row r="248" spans="19:25" ht="12.75">
      <c r="S248"/>
      <c r="U248" s="105"/>
      <c r="V248"/>
      <c r="W248"/>
      <c r="X248"/>
      <c r="Y248" s="105"/>
    </row>
    <row r="249" spans="19:25" ht="12.75">
      <c r="S249"/>
      <c r="U249" s="105"/>
      <c r="V249"/>
      <c r="W249"/>
      <c r="X249"/>
      <c r="Y249" s="105"/>
    </row>
    <row r="250" spans="19:25" ht="12.75">
      <c r="S250"/>
      <c r="U250" s="105"/>
      <c r="V250"/>
      <c r="W250"/>
      <c r="X250"/>
      <c r="Y250" s="105"/>
    </row>
    <row r="251" spans="19:25" ht="12.75">
      <c r="S251"/>
      <c r="T251"/>
      <c r="U251" s="105"/>
      <c r="V251"/>
      <c r="W251"/>
      <c r="X251"/>
      <c r="Y251" s="105"/>
    </row>
    <row r="252" spans="19:25" ht="12.75">
      <c r="S252"/>
      <c r="T252"/>
      <c r="U252" s="105"/>
      <c r="V252"/>
      <c r="W252"/>
      <c r="X252"/>
      <c r="Y252" s="105"/>
    </row>
    <row r="253" spans="19:25" ht="12.75">
      <c r="S253"/>
      <c r="T253"/>
      <c r="U253" s="105"/>
      <c r="V253"/>
      <c r="W253"/>
      <c r="X253"/>
      <c r="Y253" s="105"/>
    </row>
    <row r="254" spans="19:25" ht="12.75">
      <c r="S254"/>
      <c r="T254"/>
      <c r="U254" s="105"/>
      <c r="V254"/>
      <c r="W254"/>
      <c r="X254"/>
      <c r="Y254" s="105"/>
    </row>
    <row r="255" spans="19:25" ht="12.75">
      <c r="S255"/>
      <c r="T255"/>
      <c r="U255" s="105"/>
      <c r="V255"/>
      <c r="W255"/>
      <c r="X255"/>
      <c r="Y255" s="105"/>
    </row>
    <row r="256" spans="19:25" ht="12.75">
      <c r="S256"/>
      <c r="T256"/>
      <c r="U256" s="105"/>
      <c r="V256"/>
      <c r="W256"/>
      <c r="X256"/>
      <c r="Y256" s="105"/>
    </row>
    <row r="257" spans="19:25" ht="12.75">
      <c r="S257"/>
      <c r="T257"/>
      <c r="U257" s="105"/>
      <c r="V257"/>
      <c r="W257"/>
      <c r="X257"/>
      <c r="Y257" s="105"/>
    </row>
    <row r="258" spans="19:25" ht="12.75">
      <c r="S258"/>
      <c r="T258"/>
      <c r="U258" s="105"/>
      <c r="V258"/>
      <c r="W258"/>
      <c r="X258"/>
      <c r="Y258" s="105"/>
    </row>
    <row r="259" spans="19:25" ht="12.75">
      <c r="S259"/>
      <c r="T259"/>
      <c r="U259" s="105"/>
      <c r="V259"/>
      <c r="W259"/>
      <c r="X259"/>
      <c r="Y259" s="105"/>
    </row>
    <row r="260" spans="19:25" ht="12.75">
      <c r="S260"/>
      <c r="T260"/>
      <c r="U260" s="105"/>
      <c r="V260"/>
      <c r="W260"/>
      <c r="X260"/>
      <c r="Y260" s="105"/>
    </row>
    <row r="261" spans="19:25" ht="12.75">
      <c r="S261"/>
      <c r="T261"/>
      <c r="U261" s="105"/>
      <c r="V261"/>
      <c r="W261"/>
      <c r="X261"/>
      <c r="Y261" s="105"/>
    </row>
    <row r="262" spans="19:25" ht="12.75">
      <c r="S262"/>
      <c r="T262"/>
      <c r="U262" s="105"/>
      <c r="V262"/>
      <c r="W262"/>
      <c r="X262"/>
      <c r="Y262" s="105"/>
    </row>
    <row r="263" spans="19:25" ht="12.75">
      <c r="S263"/>
      <c r="T263"/>
      <c r="U263" s="105"/>
      <c r="V263"/>
      <c r="W263"/>
      <c r="X263"/>
      <c r="Y263" s="105"/>
    </row>
    <row r="264" spans="19:25" ht="12.75">
      <c r="S264"/>
      <c r="T264"/>
      <c r="U264" s="105"/>
      <c r="V264"/>
      <c r="W264"/>
      <c r="X264"/>
      <c r="Y264" s="105"/>
    </row>
    <row r="265" spans="19:25" ht="12.75">
      <c r="S265"/>
      <c r="T265"/>
      <c r="U265" s="105"/>
      <c r="V265"/>
      <c r="W265"/>
      <c r="X265"/>
      <c r="Y265" s="105"/>
    </row>
    <row r="266" spans="19:25" ht="12.75">
      <c r="S266"/>
      <c r="T266"/>
      <c r="U266" s="105"/>
      <c r="V266"/>
      <c r="W266"/>
      <c r="X266"/>
      <c r="Y266" s="105"/>
    </row>
    <row r="267" spans="19:25" ht="12.75">
      <c r="S267"/>
      <c r="T267"/>
      <c r="U267" s="105"/>
      <c r="V267"/>
      <c r="W267"/>
      <c r="X267"/>
      <c r="Y267" s="105"/>
    </row>
    <row r="268" spans="19:25" ht="12.75">
      <c r="S268"/>
      <c r="T268"/>
      <c r="U268" s="105"/>
      <c r="V268"/>
      <c r="W268"/>
      <c r="X268"/>
      <c r="Y268" s="105"/>
    </row>
    <row r="269" spans="19:25" ht="12.75">
      <c r="S269"/>
      <c r="T269"/>
      <c r="U269" s="105"/>
      <c r="V269"/>
      <c r="W269"/>
      <c r="X269"/>
      <c r="Y269" s="105"/>
    </row>
    <row r="270" spans="19:25" ht="12.75">
      <c r="S270"/>
      <c r="T270"/>
      <c r="U270" s="105"/>
      <c r="V270"/>
      <c r="W270"/>
      <c r="X270"/>
      <c r="Y270" s="105"/>
    </row>
    <row r="271" spans="19:25" ht="12.75">
      <c r="S271"/>
      <c r="T271"/>
      <c r="U271" s="105"/>
      <c r="V271"/>
      <c r="W271"/>
      <c r="X271"/>
      <c r="Y271" s="105"/>
    </row>
    <row r="272" spans="19:25" ht="12.75">
      <c r="S272"/>
      <c r="T272"/>
      <c r="U272" s="105"/>
      <c r="V272"/>
      <c r="W272"/>
      <c r="X272"/>
      <c r="Y272" s="105"/>
    </row>
    <row r="273" spans="19:25" ht="12.75">
      <c r="S273"/>
      <c r="T273"/>
      <c r="U273" s="105"/>
      <c r="V273"/>
      <c r="W273"/>
      <c r="X273"/>
      <c r="Y273" s="105"/>
    </row>
    <row r="274" spans="19:25" ht="12.75">
      <c r="S274"/>
      <c r="T274"/>
      <c r="U274" s="105"/>
      <c r="V274"/>
      <c r="W274"/>
      <c r="X274"/>
      <c r="Y274" s="105"/>
    </row>
    <row r="275" spans="19:25" ht="12.75">
      <c r="S275"/>
      <c r="T275"/>
      <c r="U275" s="105"/>
      <c r="V275"/>
      <c r="W275"/>
      <c r="X275"/>
      <c r="Y275" s="105"/>
    </row>
    <row r="276" spans="19:25" ht="12.75">
      <c r="S276"/>
      <c r="T276"/>
      <c r="U276" s="105"/>
      <c r="V276"/>
      <c r="W276"/>
      <c r="X276"/>
      <c r="Y276" s="105"/>
    </row>
    <row r="277" spans="19:25" ht="12.75">
      <c r="S277"/>
      <c r="T277"/>
      <c r="U277" s="105"/>
      <c r="V277"/>
      <c r="W277"/>
      <c r="X277"/>
      <c r="Y277" s="105"/>
    </row>
    <row r="278" spans="19:25" ht="12.75">
      <c r="S278"/>
      <c r="T278"/>
      <c r="U278" s="105"/>
      <c r="V278"/>
      <c r="W278"/>
      <c r="X278"/>
      <c r="Y278" s="105"/>
    </row>
    <row r="279" spans="19:25" ht="12.75">
      <c r="S279"/>
      <c r="T279"/>
      <c r="U279" s="105"/>
      <c r="V279"/>
      <c r="W279"/>
      <c r="X279"/>
      <c r="Y279" s="105"/>
    </row>
    <row r="280" spans="19:25" ht="12.75">
      <c r="S280"/>
      <c r="T280"/>
      <c r="U280" s="105"/>
      <c r="V280"/>
      <c r="W280"/>
      <c r="X280"/>
      <c r="Y280" s="105"/>
    </row>
    <row r="281" spans="19:25" ht="12.75">
      <c r="S281"/>
      <c r="T281"/>
      <c r="U281" s="105"/>
      <c r="V281"/>
      <c r="W281"/>
      <c r="X281"/>
      <c r="Y281" s="105"/>
    </row>
    <row r="282" spans="19:25" ht="12.75">
      <c r="S282"/>
      <c r="T282"/>
      <c r="U282" s="105"/>
      <c r="V282"/>
      <c r="W282"/>
      <c r="X282"/>
      <c r="Y282" s="105"/>
    </row>
    <row r="283" spans="19:25" ht="12.75">
      <c r="S283"/>
      <c r="T283"/>
      <c r="U283" s="105"/>
      <c r="V283"/>
      <c r="W283"/>
      <c r="X283"/>
      <c r="Y283" s="105"/>
    </row>
    <row r="284" spans="19:25" ht="12.75">
      <c r="S284"/>
      <c r="T284"/>
      <c r="U284" s="105"/>
      <c r="V284"/>
      <c r="W284"/>
      <c r="X284"/>
      <c r="Y284" s="105"/>
    </row>
    <row r="285" spans="19:25" ht="12.75">
      <c r="S285"/>
      <c r="T285"/>
      <c r="U285" s="105"/>
      <c r="V285"/>
      <c r="W285"/>
      <c r="X285"/>
      <c r="Y285" s="105"/>
    </row>
    <row r="286" spans="19:25" ht="12.75">
      <c r="S286"/>
      <c r="T286"/>
      <c r="U286" s="105"/>
      <c r="V286"/>
      <c r="W286"/>
      <c r="X286"/>
      <c r="Y286" s="105"/>
    </row>
    <row r="287" spans="19:25" ht="12.75">
      <c r="S287"/>
      <c r="T287"/>
      <c r="U287" s="105"/>
      <c r="V287"/>
      <c r="W287"/>
      <c r="X287"/>
      <c r="Y287" s="105"/>
    </row>
    <row r="288" spans="19:25" ht="12.75">
      <c r="S288"/>
      <c r="T288"/>
      <c r="U288" s="105"/>
      <c r="V288"/>
      <c r="W288"/>
      <c r="X288"/>
      <c r="Y288" s="105"/>
    </row>
    <row r="289" spans="19:25" ht="12.75">
      <c r="S289"/>
      <c r="T289"/>
      <c r="U289" s="105"/>
      <c r="V289"/>
      <c r="W289"/>
      <c r="X289"/>
      <c r="Y289" s="105"/>
    </row>
    <row r="290" spans="19:25" ht="12.75">
      <c r="S290"/>
      <c r="T290"/>
      <c r="U290" s="105"/>
      <c r="V290"/>
      <c r="W290"/>
      <c r="X290"/>
      <c r="Y290" s="105"/>
    </row>
    <row r="291" spans="19:25" ht="12.75">
      <c r="S291"/>
      <c r="T291"/>
      <c r="U291" s="105"/>
      <c r="V291"/>
      <c r="W291"/>
      <c r="X291"/>
      <c r="Y291" s="105"/>
    </row>
    <row r="292" spans="19:25" ht="12.75">
      <c r="S292"/>
      <c r="T292"/>
      <c r="U292" s="105"/>
      <c r="V292"/>
      <c r="W292"/>
      <c r="X292"/>
      <c r="Y292" s="105"/>
    </row>
    <row r="293" spans="19:25" ht="12.75">
      <c r="S293"/>
      <c r="T293"/>
      <c r="U293" s="105"/>
      <c r="V293"/>
      <c r="W293"/>
      <c r="X293"/>
      <c r="Y293" s="105"/>
    </row>
    <row r="294" spans="19:25" ht="12.75">
      <c r="S294"/>
      <c r="T294"/>
      <c r="U294" s="105"/>
      <c r="V294"/>
      <c r="W294"/>
      <c r="X294"/>
      <c r="Y294" s="105"/>
    </row>
    <row r="295" spans="19:25" ht="12.75">
      <c r="S295"/>
      <c r="T295"/>
      <c r="U295" s="105"/>
      <c r="V295"/>
      <c r="W295"/>
      <c r="X295"/>
      <c r="Y295" s="105"/>
    </row>
    <row r="296" spans="19:25" ht="12.75">
      <c r="S296"/>
      <c r="T296"/>
      <c r="U296" s="105"/>
      <c r="V296"/>
      <c r="W296"/>
      <c r="X296"/>
      <c r="Y296" s="105"/>
    </row>
    <row r="297" spans="19:25" ht="12.75">
      <c r="S297"/>
      <c r="T297"/>
      <c r="U297" s="105"/>
      <c r="V297"/>
      <c r="W297"/>
      <c r="X297"/>
      <c r="Y297" s="105"/>
    </row>
    <row r="298" spans="19:25" ht="12.75">
      <c r="S298"/>
      <c r="T298"/>
      <c r="U298" s="105"/>
      <c r="V298"/>
      <c r="W298"/>
      <c r="X298"/>
      <c r="Y298" s="105"/>
    </row>
    <row r="299" spans="19:25" ht="12.75">
      <c r="S299"/>
      <c r="T299"/>
      <c r="U299" s="105"/>
      <c r="V299"/>
      <c r="W299"/>
      <c r="X299"/>
      <c r="Y299" s="105"/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Equation.3" shapeId="1305888" r:id="rId1"/>
    <oleObject progId="Equation.3" shapeId="138473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workbookViewId="0" topLeftCell="A1">
      <selection activeCell="D3" sqref="D3"/>
    </sheetView>
  </sheetViews>
  <sheetFormatPr defaultColWidth="9.140625" defaultRowHeight="12.75"/>
  <cols>
    <col min="1" max="1" width="12.421875" style="0" bestFit="1" customWidth="1"/>
    <col min="3" max="3" width="5.57421875" style="0" customWidth="1"/>
    <col min="4" max="4" width="38.140625" style="0" bestFit="1" customWidth="1"/>
    <col min="11" max="12" width="9.140625" style="0" hidden="1" customWidth="1"/>
  </cols>
  <sheetData>
    <row r="1" spans="3:12" ht="12.75">
      <c r="C1" s="1"/>
      <c r="D1" s="26"/>
      <c r="K1" t="str">
        <f>COMPUTATION!B1</f>
        <v>Inch</v>
      </c>
      <c r="L1" t="str">
        <f>COMPUTATION!D1</f>
        <v>Second</v>
      </c>
    </row>
    <row r="2" spans="3:12" ht="12.75">
      <c r="C2" s="1" t="s">
        <v>66</v>
      </c>
      <c r="D2" s="26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26"/>
      <c r="K3" t="str">
        <f>COMPUTATION!B3</f>
        <v>Meter</v>
      </c>
      <c r="L3" t="str">
        <f>COMPUTATION!D3</f>
        <v>Hour</v>
      </c>
    </row>
    <row r="4" spans="3:12" ht="12.75">
      <c r="C4" s="1" t="s">
        <v>67</v>
      </c>
      <c r="D4" s="9" t="s">
        <v>70</v>
      </c>
      <c r="K4" t="str">
        <f>COMPUTATION!B4</f>
        <v>cm</v>
      </c>
      <c r="L4" t="str">
        <f>COMPUTATION!D4</f>
        <v>Day</v>
      </c>
    </row>
    <row r="5" spans="3:11" ht="12.75">
      <c r="C5" s="1" t="s">
        <v>68</v>
      </c>
      <c r="D5" s="9" t="s">
        <v>62</v>
      </c>
      <c r="K5" t="str">
        <f>COMPUTATION!B5</f>
        <v>mm</v>
      </c>
    </row>
    <row r="6" spans="3:4" ht="12.75">
      <c r="C6" s="1"/>
      <c r="D6" s="9"/>
    </row>
    <row r="7" spans="3:4" ht="12.75">
      <c r="C7" s="1"/>
      <c r="D7" s="9"/>
    </row>
    <row r="8" spans="5:10" ht="12.75">
      <c r="E8" s="12" t="s">
        <v>47</v>
      </c>
      <c r="J8" s="12"/>
    </row>
    <row r="9" spans="4:10" ht="12.75">
      <c r="D9" s="13"/>
      <c r="E9" t="s">
        <v>172</v>
      </c>
      <c r="F9" t="s">
        <v>96</v>
      </c>
      <c r="G9" t="s">
        <v>96</v>
      </c>
      <c r="H9" t="s">
        <v>172</v>
      </c>
      <c r="J9" s="12"/>
    </row>
    <row r="10" spans="1:10" ht="13.5" thickBot="1">
      <c r="A10" s="21" t="s">
        <v>52</v>
      </c>
      <c r="B10" s="21" t="s">
        <v>53</v>
      </c>
      <c r="D10" s="22" t="s">
        <v>50</v>
      </c>
      <c r="E10" s="21" t="s">
        <v>26</v>
      </c>
      <c r="F10" s="21" t="s">
        <v>26</v>
      </c>
      <c r="G10" s="21" t="s">
        <v>27</v>
      </c>
      <c r="H10" s="21" t="s">
        <v>27</v>
      </c>
      <c r="I10" s="21" t="s">
        <v>99</v>
      </c>
      <c r="J10" s="94" t="s">
        <v>100</v>
      </c>
    </row>
    <row r="11" spans="1:10" ht="13.5" thickTop="1">
      <c r="A11" s="13" t="s">
        <v>28</v>
      </c>
      <c r="B11" s="1" t="s">
        <v>51</v>
      </c>
      <c r="D11" s="13" t="s">
        <v>28</v>
      </c>
      <c r="E11" s="24">
        <v>90</v>
      </c>
      <c r="F11" s="24">
        <v>300</v>
      </c>
      <c r="G11" s="24">
        <v>3000</v>
      </c>
      <c r="H11" s="24">
        <v>3000</v>
      </c>
      <c r="I11" s="24" t="s">
        <v>101</v>
      </c>
      <c r="J11" s="95" t="s">
        <v>102</v>
      </c>
    </row>
    <row r="12" spans="1:10" ht="12.75">
      <c r="A12" s="13" t="s">
        <v>29</v>
      </c>
      <c r="B12" t="s">
        <v>54</v>
      </c>
      <c r="D12" s="13" t="s">
        <v>103</v>
      </c>
      <c r="E12" s="24">
        <v>1</v>
      </c>
      <c r="F12" s="24">
        <v>30</v>
      </c>
      <c r="G12" s="24">
        <v>300</v>
      </c>
      <c r="H12" s="24">
        <v>300</v>
      </c>
      <c r="I12" s="24" t="s">
        <v>101</v>
      </c>
      <c r="J12" s="12">
        <v>1</v>
      </c>
    </row>
    <row r="13" spans="1:10" ht="12.75">
      <c r="A13" s="13" t="s">
        <v>30</v>
      </c>
      <c r="B13" t="s">
        <v>55</v>
      </c>
      <c r="D13" s="13" t="s">
        <v>29</v>
      </c>
      <c r="E13" s="24">
        <v>50</v>
      </c>
      <c r="F13" s="24">
        <v>70</v>
      </c>
      <c r="G13" s="24">
        <v>300</v>
      </c>
      <c r="H13" s="24">
        <v>300</v>
      </c>
      <c r="I13" s="24" t="s">
        <v>101</v>
      </c>
      <c r="J13" s="95">
        <v>1</v>
      </c>
    </row>
    <row r="14" spans="1:10" ht="12.75">
      <c r="A14" s="13" t="s">
        <v>31</v>
      </c>
      <c r="B14" t="s">
        <v>56</v>
      </c>
      <c r="D14" s="13" t="s">
        <v>30</v>
      </c>
      <c r="E14" s="24">
        <v>1</v>
      </c>
      <c r="F14" s="24">
        <v>20</v>
      </c>
      <c r="G14" s="24">
        <v>70</v>
      </c>
      <c r="H14" s="24">
        <v>200</v>
      </c>
      <c r="I14" s="24" t="s">
        <v>101</v>
      </c>
      <c r="J14" s="95" t="s">
        <v>102</v>
      </c>
    </row>
    <row r="15" spans="1:10" ht="12.75">
      <c r="A15" s="13" t="s">
        <v>56</v>
      </c>
      <c r="D15" s="13" t="s">
        <v>31</v>
      </c>
      <c r="E15" s="24">
        <v>0.05</v>
      </c>
      <c r="F15" s="24">
        <v>3</v>
      </c>
      <c r="G15" s="24">
        <v>20</v>
      </c>
      <c r="H15" s="24">
        <v>20</v>
      </c>
      <c r="I15" s="24" t="s">
        <v>101</v>
      </c>
      <c r="J15" s="95" t="s">
        <v>102</v>
      </c>
    </row>
    <row r="16" spans="4:10" ht="12.75">
      <c r="D16" s="13" t="s">
        <v>104</v>
      </c>
      <c r="E16" s="24">
        <v>2</v>
      </c>
      <c r="F16" s="24">
        <v>30</v>
      </c>
      <c r="G16" s="24">
        <v>200</v>
      </c>
      <c r="H16" s="24">
        <v>800</v>
      </c>
      <c r="I16" s="24" t="s">
        <v>101</v>
      </c>
      <c r="J16" s="12">
        <v>2</v>
      </c>
    </row>
    <row r="17" spans="4:10" ht="12.75">
      <c r="D17" s="13" t="s">
        <v>105</v>
      </c>
      <c r="E17" s="24">
        <v>0.01</v>
      </c>
      <c r="F17" s="24">
        <v>1</v>
      </c>
      <c r="G17" s="24">
        <v>100</v>
      </c>
      <c r="H17" s="24">
        <v>300</v>
      </c>
      <c r="I17" s="24" t="s">
        <v>101</v>
      </c>
      <c r="J17" s="12">
        <v>3</v>
      </c>
    </row>
    <row r="18" spans="4:10" ht="12.75">
      <c r="D18" s="13" t="s">
        <v>106</v>
      </c>
      <c r="E18" s="24">
        <v>0.01</v>
      </c>
      <c r="F18" s="24">
        <v>0.1</v>
      </c>
      <c r="G18" s="24">
        <v>30</v>
      </c>
      <c r="H18" s="24">
        <v>50</v>
      </c>
      <c r="I18" s="24" t="s">
        <v>101</v>
      </c>
      <c r="J18" s="12">
        <v>4</v>
      </c>
    </row>
    <row r="19" spans="4:10" ht="12.75">
      <c r="D19" s="13" t="s">
        <v>32</v>
      </c>
      <c r="E19" s="24">
        <v>0.0003</v>
      </c>
      <c r="F19" s="24">
        <v>0.001</v>
      </c>
      <c r="G19" s="24">
        <v>0.1</v>
      </c>
      <c r="H19" s="24">
        <v>6</v>
      </c>
      <c r="I19" s="24" t="s">
        <v>101</v>
      </c>
      <c r="J19" s="12">
        <v>5</v>
      </c>
    </row>
    <row r="20" spans="4:10" ht="12.75">
      <c r="D20" s="13" t="s">
        <v>33</v>
      </c>
      <c r="E20" s="24">
        <v>3E-07</v>
      </c>
      <c r="F20" s="24">
        <v>0.003</v>
      </c>
      <c r="G20" s="24">
        <v>0.3</v>
      </c>
      <c r="H20" s="24">
        <v>0.6</v>
      </c>
      <c r="I20" s="24" t="s">
        <v>101</v>
      </c>
      <c r="J20" s="95" t="s">
        <v>102</v>
      </c>
    </row>
    <row r="21" spans="4:10" ht="12.75">
      <c r="D21" s="13" t="s">
        <v>107</v>
      </c>
      <c r="E21" s="24">
        <v>0.01</v>
      </c>
      <c r="F21" s="24">
        <v>0.01</v>
      </c>
      <c r="G21" s="24">
        <v>1</v>
      </c>
      <c r="H21" s="24">
        <v>1</v>
      </c>
      <c r="I21" s="24" t="s">
        <v>101</v>
      </c>
      <c r="J21" s="12">
        <v>1</v>
      </c>
    </row>
    <row r="22" spans="4:10" ht="12.75">
      <c r="D22" s="13" t="s">
        <v>34</v>
      </c>
      <c r="E22" s="24">
        <v>1E-06</v>
      </c>
      <c r="F22" s="24">
        <v>1E-05</v>
      </c>
      <c r="G22" s="24">
        <v>0.0001</v>
      </c>
      <c r="H22" s="24">
        <v>0.001</v>
      </c>
      <c r="I22" s="24" t="s">
        <v>101</v>
      </c>
      <c r="J22" s="12" t="s">
        <v>108</v>
      </c>
    </row>
    <row r="23" spans="4:10" ht="12.75">
      <c r="D23" s="13" t="s">
        <v>35</v>
      </c>
      <c r="E23" s="24">
        <v>2E-07</v>
      </c>
      <c r="F23" s="24">
        <v>2E-07</v>
      </c>
      <c r="G23" s="24">
        <v>0.0006</v>
      </c>
      <c r="H23" s="24">
        <v>0.0006</v>
      </c>
      <c r="I23" s="24" t="s">
        <v>109</v>
      </c>
      <c r="J23" s="12">
        <v>5</v>
      </c>
    </row>
    <row r="24" spans="4:10" ht="12.75">
      <c r="D24" s="13" t="s">
        <v>36</v>
      </c>
      <c r="E24" s="24">
        <v>0.3</v>
      </c>
      <c r="F24" s="24">
        <v>10</v>
      </c>
      <c r="G24" s="24">
        <v>1000</v>
      </c>
      <c r="H24" s="24">
        <v>10000</v>
      </c>
      <c r="I24" s="24" t="s">
        <v>109</v>
      </c>
      <c r="J24" s="12" t="s">
        <v>171</v>
      </c>
    </row>
    <row r="25" spans="4:10" ht="12.75">
      <c r="D25" s="13" t="s">
        <v>37</v>
      </c>
      <c r="E25" s="24">
        <v>0.3</v>
      </c>
      <c r="F25" s="24">
        <v>10</v>
      </c>
      <c r="G25" s="24">
        <v>1000</v>
      </c>
      <c r="H25" s="24">
        <v>6000</v>
      </c>
      <c r="I25" s="24" t="s">
        <v>109</v>
      </c>
      <c r="J25" s="12">
        <v>5</v>
      </c>
    </row>
    <row r="26" spans="4:10" ht="12.75">
      <c r="D26" s="13" t="s">
        <v>38</v>
      </c>
      <c r="E26" s="24">
        <v>0.0003</v>
      </c>
      <c r="F26" s="24">
        <v>0.004</v>
      </c>
      <c r="G26" s="24">
        <v>0.1</v>
      </c>
      <c r="H26" s="24">
        <v>2</v>
      </c>
      <c r="I26" s="24" t="s">
        <v>109</v>
      </c>
      <c r="J26" s="12">
        <v>5</v>
      </c>
    </row>
    <row r="27" spans="4:10" ht="12.75">
      <c r="D27" s="13" t="s">
        <v>110</v>
      </c>
      <c r="E27" s="24">
        <v>0.0001</v>
      </c>
      <c r="F27" s="24">
        <v>0.001</v>
      </c>
      <c r="G27" s="24">
        <v>1</v>
      </c>
      <c r="H27" s="24">
        <v>6</v>
      </c>
      <c r="I27" s="24" t="s">
        <v>111</v>
      </c>
      <c r="J27" s="12" t="s">
        <v>112</v>
      </c>
    </row>
    <row r="28" spans="4:10" ht="12.75">
      <c r="D28" s="13" t="s">
        <v>113</v>
      </c>
      <c r="E28" s="24">
        <v>0.001</v>
      </c>
      <c r="F28" s="24">
        <v>1</v>
      </c>
      <c r="G28" s="24">
        <v>10</v>
      </c>
      <c r="H28" s="24">
        <v>80</v>
      </c>
      <c r="I28" s="24" t="s">
        <v>111</v>
      </c>
      <c r="J28" s="12" t="s">
        <v>114</v>
      </c>
    </row>
    <row r="29" spans="4:10" ht="12.75">
      <c r="D29" s="13" t="s">
        <v>39</v>
      </c>
      <c r="E29" s="24">
        <v>1E-06</v>
      </c>
      <c r="F29" s="24">
        <v>1E-05</v>
      </c>
      <c r="G29" s="24">
        <v>0.005</v>
      </c>
      <c r="H29" s="24">
        <v>0.04</v>
      </c>
      <c r="I29" s="24" t="s">
        <v>111</v>
      </c>
      <c r="J29" s="12">
        <v>6</v>
      </c>
    </row>
    <row r="30" spans="4:10" ht="12.75">
      <c r="D30" s="13" t="s">
        <v>115</v>
      </c>
      <c r="E30" s="24">
        <v>3E-09</v>
      </c>
      <c r="F30" s="24">
        <v>1E-06</v>
      </c>
      <c r="G30" s="24">
        <v>1E-05</v>
      </c>
      <c r="H30" s="24">
        <v>3E-05</v>
      </c>
      <c r="I30" s="24" t="s">
        <v>111</v>
      </c>
      <c r="J30" s="12" t="s">
        <v>173</v>
      </c>
    </row>
    <row r="31" spans="4:10" ht="12.75">
      <c r="D31" s="13" t="s">
        <v>40</v>
      </c>
      <c r="E31" s="24">
        <v>1E-07</v>
      </c>
      <c r="F31" s="24">
        <v>1E-07</v>
      </c>
      <c r="G31" s="24">
        <v>0.006</v>
      </c>
      <c r="H31" s="24">
        <v>0.006</v>
      </c>
      <c r="I31" s="24" t="s">
        <v>111</v>
      </c>
      <c r="J31" s="12">
        <v>5</v>
      </c>
    </row>
    <row r="32" spans="4:10" ht="12.75">
      <c r="D32" s="13" t="s">
        <v>41</v>
      </c>
      <c r="E32" s="24">
        <v>1E-08</v>
      </c>
      <c r="F32" s="24">
        <v>1E-07</v>
      </c>
      <c r="G32" s="24">
        <v>0.0001</v>
      </c>
      <c r="H32" s="24">
        <v>1</v>
      </c>
      <c r="I32" s="24" t="s">
        <v>116</v>
      </c>
      <c r="J32" s="12">
        <v>7</v>
      </c>
    </row>
    <row r="33" spans="4:10" ht="12.75">
      <c r="D33" s="13" t="s">
        <v>42</v>
      </c>
      <c r="E33" s="24">
        <v>0.1</v>
      </c>
      <c r="F33" s="24">
        <v>1</v>
      </c>
      <c r="G33" s="24">
        <v>100</v>
      </c>
      <c r="H33" s="24">
        <v>6000</v>
      </c>
      <c r="I33" s="24" t="s">
        <v>116</v>
      </c>
      <c r="J33" s="12">
        <v>5</v>
      </c>
    </row>
    <row r="34" spans="4:10" ht="12.75">
      <c r="D34" s="13" t="s">
        <v>43</v>
      </c>
      <c r="E34" s="24">
        <v>0.001</v>
      </c>
      <c r="F34" s="24">
        <v>0.05</v>
      </c>
      <c r="G34" s="24">
        <v>10</v>
      </c>
      <c r="H34" s="24">
        <v>100</v>
      </c>
      <c r="I34" s="24" t="s">
        <v>116</v>
      </c>
      <c r="J34" s="12">
        <v>1</v>
      </c>
    </row>
    <row r="35" spans="4:10" ht="12.75">
      <c r="D35" s="13" t="s">
        <v>44</v>
      </c>
      <c r="E35" s="24">
        <v>0.1</v>
      </c>
      <c r="F35" s="24">
        <v>1</v>
      </c>
      <c r="G35" s="24">
        <v>10</v>
      </c>
      <c r="H35" s="24">
        <v>20</v>
      </c>
      <c r="I35" s="24" t="s">
        <v>116</v>
      </c>
      <c r="J35" s="12">
        <v>6</v>
      </c>
    </row>
    <row r="36" spans="4:10" ht="12.75">
      <c r="D36" s="13" t="s">
        <v>45</v>
      </c>
      <c r="E36" s="24">
        <v>0.1</v>
      </c>
      <c r="F36" s="24">
        <v>0.1</v>
      </c>
      <c r="G36" s="24">
        <v>1</v>
      </c>
      <c r="H36" s="24">
        <v>1</v>
      </c>
      <c r="I36" s="24" t="s">
        <v>116</v>
      </c>
      <c r="J36" s="12">
        <v>6</v>
      </c>
    </row>
    <row r="37" spans="4:10" ht="12.75">
      <c r="D37" s="13" t="s">
        <v>46</v>
      </c>
      <c r="E37" s="24">
        <v>0</v>
      </c>
      <c r="F37" s="24">
        <v>0.03</v>
      </c>
      <c r="G37" s="24">
        <v>0.1</v>
      </c>
      <c r="H37" s="24">
        <v>0.1</v>
      </c>
      <c r="I37" s="24" t="s">
        <v>116</v>
      </c>
      <c r="J37" s="12">
        <v>5</v>
      </c>
    </row>
    <row r="38" spans="4:10" ht="12.75">
      <c r="D38" s="13" t="s">
        <v>117</v>
      </c>
      <c r="E38" s="24">
        <v>0</v>
      </c>
      <c r="F38" s="24">
        <v>9E-09</v>
      </c>
      <c r="G38" s="24">
        <v>6E-05</v>
      </c>
      <c r="H38" s="24">
        <v>6E-05</v>
      </c>
      <c r="I38" s="24" t="s">
        <v>116</v>
      </c>
      <c r="J38" s="95" t="s">
        <v>102</v>
      </c>
    </row>
    <row r="39" spans="1:10" ht="13.5" thickBot="1">
      <c r="A39" s="21"/>
      <c r="B39" s="21"/>
      <c r="D39" s="13" t="s">
        <v>117</v>
      </c>
      <c r="E39" s="25">
        <v>0</v>
      </c>
      <c r="F39" s="25">
        <v>9E-09</v>
      </c>
      <c r="G39" s="25">
        <v>6E-05</v>
      </c>
      <c r="H39" s="25">
        <v>6E-05</v>
      </c>
      <c r="I39" s="24"/>
      <c r="J39" s="12"/>
    </row>
    <row r="40" spans="1:10" ht="13.5" thickTop="1">
      <c r="A40" s="23"/>
      <c r="B40" s="23"/>
      <c r="D40" s="23"/>
      <c r="E40" s="23"/>
      <c r="F40" s="23"/>
      <c r="J40" s="12"/>
    </row>
    <row r="41" ht="12.75">
      <c r="J41" s="12"/>
    </row>
    <row r="42" spans="4:10" ht="12.75">
      <c r="D42" s="96" t="s">
        <v>118</v>
      </c>
      <c r="J42" s="12"/>
    </row>
    <row r="43" spans="4:10" ht="12.75">
      <c r="D43" s="96" t="s">
        <v>119</v>
      </c>
      <c r="J43" s="12"/>
    </row>
    <row r="44" spans="4:10" ht="12.75">
      <c r="D44" s="96" t="s">
        <v>120</v>
      </c>
      <c r="J44" s="12"/>
    </row>
    <row r="45" spans="4:10" ht="12.75">
      <c r="D45" s="96" t="s">
        <v>121</v>
      </c>
      <c r="J45" s="12"/>
    </row>
    <row r="46" spans="4:10" ht="12.75">
      <c r="D46" s="96" t="s">
        <v>122</v>
      </c>
      <c r="J46" s="12"/>
    </row>
    <row r="47" spans="4:10" ht="12.75">
      <c r="D47" s="96" t="s">
        <v>123</v>
      </c>
      <c r="J47" s="12"/>
    </row>
    <row r="48" spans="4:10" ht="12.75">
      <c r="D48" s="96" t="s">
        <v>124</v>
      </c>
      <c r="J48" s="12"/>
    </row>
    <row r="49" spans="4:10" ht="12.75">
      <c r="D49" s="96" t="s">
        <v>125</v>
      </c>
      <c r="J49" s="12"/>
    </row>
    <row r="50" spans="4:10" ht="12.75">
      <c r="D50" s="96" t="s">
        <v>126</v>
      </c>
      <c r="J50" s="12"/>
    </row>
    <row r="51" spans="4:10" ht="12.75">
      <c r="D51" s="96" t="s">
        <v>174</v>
      </c>
      <c r="J51" s="12"/>
    </row>
  </sheetData>
  <dataValidations count="3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103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8" customWidth="1"/>
    <col min="2" max="2" width="19.00390625" style="8" customWidth="1"/>
    <col min="3" max="5" width="9.140625" style="8" customWidth="1"/>
    <col min="6" max="6" width="10.421875" style="8" customWidth="1"/>
    <col min="7" max="7" width="9.57421875" style="8" customWidth="1"/>
    <col min="8" max="8" width="11.00390625" style="8" customWidth="1"/>
    <col min="9" max="9" width="4.421875" style="8" customWidth="1"/>
    <col min="10" max="13" width="9.140625" style="8" hidden="1" customWidth="1"/>
    <col min="14" max="14" width="5.7109375" style="8" hidden="1" customWidth="1"/>
    <col min="15" max="15" width="12.421875" style="7" hidden="1" customWidth="1"/>
    <col min="16" max="16" width="15.8515625" style="109" hidden="1" customWidth="1"/>
    <col min="17" max="17" width="12.8515625" style="10" hidden="1" customWidth="1"/>
    <col min="18" max="18" width="6.140625" style="8" hidden="1" customWidth="1"/>
    <col min="19" max="19" width="9.140625" style="8" hidden="1" customWidth="1"/>
    <col min="20" max="20" width="9.28125" style="8" hidden="1" customWidth="1"/>
    <col min="21" max="21" width="15.57421875" style="8" hidden="1" customWidth="1"/>
    <col min="22" max="22" width="11.421875" style="8" hidden="1" customWidth="1"/>
    <col min="23" max="24" width="9.140625" style="8" hidden="1" customWidth="1"/>
    <col min="25" max="25" width="9.421875" style="8" hidden="1" customWidth="1"/>
    <col min="26" max="16384" width="9.140625" style="8" customWidth="1"/>
  </cols>
  <sheetData>
    <row r="1" spans="2:14" ht="18">
      <c r="B1" s="43"/>
      <c r="C1" s="43"/>
      <c r="D1" s="44" t="s">
        <v>147</v>
      </c>
      <c r="E1" s="11" t="s">
        <v>130</v>
      </c>
      <c r="F1" s="43"/>
      <c r="G1" s="43"/>
      <c r="H1" s="43"/>
      <c r="I1" s="43"/>
      <c r="J1" s="43" t="str">
        <f>'DEFAULT PROPERTIES and SETTINGS'!A10</f>
        <v>Annular Fill</v>
      </c>
      <c r="K1" s="43" t="str">
        <f>'DEFAULT PROPERTIES and SETTINGS'!B10</f>
        <v>GROUTS</v>
      </c>
      <c r="L1" s="43"/>
      <c r="M1" s="43" t="str">
        <f>'DEFAULT PROPERTIES and SETTINGS'!D10</f>
        <v>Aquifer Material</v>
      </c>
      <c r="N1" s="45" t="s">
        <v>63</v>
      </c>
    </row>
    <row r="2" spans="6:22" ht="12.75">
      <c r="F2" s="7" t="s">
        <v>0</v>
      </c>
      <c r="G2" s="27" t="s">
        <v>166</v>
      </c>
      <c r="J2" s="8" t="str">
        <f>'DEFAULT PROPERTIES and SETTINGS'!A11</f>
        <v>Gravel</v>
      </c>
      <c r="K2" s="8" t="str">
        <f>'DEFAULT PROPERTIES and SETTINGS'!B11</f>
        <v>Bentonite</v>
      </c>
      <c r="M2" s="8" t="str">
        <f>'DEFAULT PROPERTIES and SETTINGS'!D11</f>
        <v>Gravel</v>
      </c>
      <c r="U2" s="47"/>
      <c r="V2" s="47"/>
    </row>
    <row r="3" spans="3:25" ht="17.25" customHeight="1">
      <c r="C3" s="48" t="s">
        <v>1</v>
      </c>
      <c r="F3" s="7" t="s">
        <v>2</v>
      </c>
      <c r="G3" s="28">
        <v>36976</v>
      </c>
      <c r="J3" s="8" t="str">
        <f>'DEFAULT PROPERTIES and SETTINGS'!A12</f>
        <v>Coarse Sand</v>
      </c>
      <c r="K3" s="8" t="str">
        <f>'DEFAULT PROPERTIES and SETTINGS'!B12</f>
        <v>Cement</v>
      </c>
      <c r="M3" s="8" t="str">
        <f>'DEFAULT PROPERTIES and SETTINGS'!D12</f>
        <v>Sand and Gravel Mixes</v>
      </c>
      <c r="T3" s="47"/>
      <c r="U3" s="47"/>
      <c r="V3" s="47"/>
      <c r="X3" s="8" t="str">
        <f>COMPUTATION!B1</f>
        <v>Inch</v>
      </c>
      <c r="Y3" s="8">
        <f>COMPUTATION!C1</f>
        <v>0.08333333333333333</v>
      </c>
    </row>
    <row r="4" spans="2:25" ht="12.75">
      <c r="B4" s="49" t="s">
        <v>3</v>
      </c>
      <c r="C4" s="50"/>
      <c r="D4" s="51"/>
      <c r="F4" s="7" t="s">
        <v>4</v>
      </c>
      <c r="G4" s="118">
        <v>0.6666666666666666</v>
      </c>
      <c r="J4" s="8" t="str">
        <f>'DEFAULT PROPERTIES and SETTINGS'!A13</f>
        <v>Medium Sand</v>
      </c>
      <c r="K4" s="8" t="str">
        <f>'DEFAULT PROPERTIES and SETTINGS'!B13</f>
        <v>Backfill</v>
      </c>
      <c r="M4" s="8" t="str">
        <f>'DEFAULT PROPERTIES and SETTINGS'!D13</f>
        <v>Coarse Sand</v>
      </c>
      <c r="T4" s="52"/>
      <c r="U4" s="83"/>
      <c r="V4" s="10"/>
      <c r="X4" s="8" t="str">
        <f>COMPUTATION!B2</f>
        <v>Feet</v>
      </c>
      <c r="Y4" s="8">
        <f>COMPUTATION!C2</f>
        <v>1</v>
      </c>
    </row>
    <row r="5" spans="2:25" ht="15.75">
      <c r="B5" s="54" t="s">
        <v>5</v>
      </c>
      <c r="C5" s="5">
        <v>6</v>
      </c>
      <c r="D5" s="71" t="s">
        <v>69</v>
      </c>
      <c r="J5" s="8" t="str">
        <f>'DEFAULT PROPERTIES and SETTINGS'!A14</f>
        <v>Fine Sand</v>
      </c>
      <c r="K5" s="8" t="str">
        <f>'DEFAULT PROPERTIES and SETTINGS'!B14</f>
        <v>Open Hole</v>
      </c>
      <c r="M5" s="8" t="str">
        <f>'DEFAULT PROPERTIES and SETTINGS'!D14</f>
        <v>Medium Sand</v>
      </c>
      <c r="T5" s="52"/>
      <c r="U5" s="83"/>
      <c r="V5" s="10"/>
      <c r="X5" s="8" t="str">
        <f>COMPUTATION!B3</f>
        <v>Meter</v>
      </c>
      <c r="Y5" s="8">
        <f>COMPUTATION!C3</f>
        <v>3.280839895013123</v>
      </c>
    </row>
    <row r="6" spans="2:25" ht="16.5">
      <c r="B6" s="54" t="s">
        <v>6</v>
      </c>
      <c r="C6" s="5">
        <v>6</v>
      </c>
      <c r="D6" s="71" t="s">
        <v>69</v>
      </c>
      <c r="F6" s="43"/>
      <c r="G6" s="56" t="s">
        <v>12</v>
      </c>
      <c r="H6" s="43"/>
      <c r="J6" s="8" t="str">
        <f>'DEFAULT PROPERTIES and SETTINGS'!A15</f>
        <v>Open Hole</v>
      </c>
      <c r="K6" s="8">
        <f>'DEFAULT PROPERTIES and SETTINGS'!B15</f>
        <v>0</v>
      </c>
      <c r="M6" s="8" t="str">
        <f>'DEFAULT PROPERTIES and SETTINGS'!D15</f>
        <v>Fine Sand</v>
      </c>
      <c r="T6" s="52"/>
      <c r="U6" s="83"/>
      <c r="V6" s="10"/>
      <c r="X6" s="8" t="str">
        <f>COMPUTATION!B4</f>
        <v>cm</v>
      </c>
      <c r="Y6" s="8">
        <f>COMPUTATION!C4</f>
        <v>0.03280839895013123</v>
      </c>
    </row>
    <row r="7" spans="2:25" ht="15" customHeight="1">
      <c r="B7" s="54" t="s">
        <v>7</v>
      </c>
      <c r="C7" s="5">
        <v>40</v>
      </c>
      <c r="D7" s="71" t="s">
        <v>70</v>
      </c>
      <c r="J7" s="8">
        <f>'DEFAULT PROPERTIES and SETTINGS'!A16</f>
        <v>0</v>
      </c>
      <c r="K7" s="8">
        <f>'DEFAULT PROPERTIES and SETTINGS'!B16</f>
        <v>0</v>
      </c>
      <c r="M7" s="8" t="str">
        <f>'DEFAULT PROPERTIES and SETTINGS'!D16</f>
        <v>Gulf Coast Aquifer Systems (6603 values)</v>
      </c>
      <c r="T7" s="52"/>
      <c r="U7" s="83"/>
      <c r="V7" s="10"/>
      <c r="X7" s="8" t="str">
        <f>COMPUTATION!B5</f>
        <v>mm</v>
      </c>
      <c r="Y7" s="8">
        <f>COMPUTATION!C5</f>
        <v>0.0032808398950131233</v>
      </c>
    </row>
    <row r="8" spans="2:25" ht="12.75">
      <c r="B8" s="57" t="s">
        <v>8</v>
      </c>
      <c r="C8" s="43"/>
      <c r="D8" s="58"/>
      <c r="F8" s="7" t="str">
        <f>COMPUTATION!A26</f>
        <v>Aquifer thickness = </v>
      </c>
      <c r="G8" s="7">
        <f>COMPUTATION!B29</f>
        <v>40</v>
      </c>
      <c r="H8" s="46" t="str">
        <f>'DEFAULT PROPERTIES and SETTINGS'!D4</f>
        <v>Feet</v>
      </c>
      <c r="J8" s="8">
        <f>'DEFAULT PROPERTIES and SETTINGS'!A17</f>
        <v>0</v>
      </c>
      <c r="K8" s="8">
        <f>'DEFAULT PROPERTIES and SETTINGS'!B17</f>
        <v>0</v>
      </c>
      <c r="M8" s="8" t="str">
        <f>'DEFAULT PROPERTIES and SETTINGS'!D17</f>
        <v>Stream Terrace Deposit, Fort Worth, Texas (59 values)</v>
      </c>
      <c r="T8" s="52"/>
      <c r="U8" s="83"/>
      <c r="V8" s="10"/>
      <c r="X8" s="8" t="str">
        <f>COMPUTATION!B6</f>
        <v>PSI</v>
      </c>
      <c r="Y8" s="8">
        <f>COMPUTATION!C6</f>
        <v>2.31</v>
      </c>
    </row>
    <row r="9" spans="2:22" ht="12.75">
      <c r="B9" s="54" t="s">
        <v>146</v>
      </c>
      <c r="C9" s="5">
        <v>30</v>
      </c>
      <c r="D9" s="55" t="str">
        <f>D7</f>
        <v>Feet</v>
      </c>
      <c r="F9" s="7" t="str">
        <f>COMPUTATION!A31</f>
        <v>Aquifer is:</v>
      </c>
      <c r="G9" s="117" t="str">
        <f>COMPUTATION!B31</f>
        <v>UNCONFINED</v>
      </c>
      <c r="J9" s="8">
        <f>'DEFAULT PROPERTIES and SETTINGS'!A18</f>
        <v>0</v>
      </c>
      <c r="K9" s="8">
        <f>'DEFAULT PROPERTIES and SETTINGS'!B18</f>
        <v>0</v>
      </c>
      <c r="M9" s="8" t="str">
        <f>'DEFAULT PROPERTIES and SETTINGS'!D18</f>
        <v>Surficial Aquifer, central Florida (fine sand and silt, 55 values)</v>
      </c>
      <c r="T9" s="52"/>
      <c r="U9" s="83"/>
      <c r="V9" s="10"/>
    </row>
    <row r="10" spans="2:22" ht="12.75">
      <c r="B10" s="54" t="s">
        <v>94</v>
      </c>
      <c r="C10" s="5">
        <v>30</v>
      </c>
      <c r="D10" s="55" t="str">
        <f>D9</f>
        <v>Feet</v>
      </c>
      <c r="F10" s="7" t="s">
        <v>18</v>
      </c>
      <c r="G10" s="8">
        <f>COMPUTATION!B45</f>
        <v>98.22199218928606</v>
      </c>
      <c r="H10" s="8" t="str">
        <f>COMPUTATION!B46</f>
        <v>Feet²/log10</v>
      </c>
      <c r="J10" s="8">
        <f>'DEFAULT PROPERTIES and SETTINGS'!A19</f>
        <v>0</v>
      </c>
      <c r="K10" s="8">
        <f>'DEFAULT PROPERTIES and SETTINGS'!B19</f>
        <v>0</v>
      </c>
      <c r="M10" s="8" t="str">
        <f>'DEFAULT PROPERTIES and SETTINGS'!D19</f>
        <v>Silt, Loess</v>
      </c>
      <c r="T10" s="52"/>
      <c r="U10" s="83"/>
      <c r="V10" s="10"/>
    </row>
    <row r="11" spans="2:22" ht="12.75">
      <c r="B11" s="59" t="s">
        <v>93</v>
      </c>
      <c r="C11" s="6">
        <v>70</v>
      </c>
      <c r="D11" s="58" t="str">
        <f>D9</f>
        <v>Feet</v>
      </c>
      <c r="J11" s="8">
        <f>'DEFAULT PROPERTIES and SETTINGS'!A20</f>
        <v>0</v>
      </c>
      <c r="K11" s="8">
        <f>'DEFAULT PROPERTIES and SETTINGS'!B20</f>
        <v>0</v>
      </c>
      <c r="M11" s="8" t="str">
        <f>'DEFAULT PROPERTIES and SETTINGS'!D20</f>
        <v>Till</v>
      </c>
      <c r="T11" s="52"/>
      <c r="U11" s="83"/>
      <c r="V11" s="10"/>
    </row>
    <row r="12" spans="2:22" ht="20.25" customHeight="1">
      <c r="B12" s="57" t="s">
        <v>9</v>
      </c>
      <c r="C12" s="43"/>
      <c r="D12" s="58"/>
      <c r="F12" s="60"/>
      <c r="G12" s="60" t="str">
        <f>COMPUTATION!A64</f>
        <v>Input is consistent.  </v>
      </c>
      <c r="H12" s="61"/>
      <c r="J12" s="8">
        <f>'DEFAULT PROPERTIES and SETTINGS'!A21</f>
        <v>0</v>
      </c>
      <c r="K12" s="8">
        <f>'DEFAULT PROPERTIES and SETTINGS'!B21</f>
        <v>0</v>
      </c>
      <c r="M12" s="8" t="str">
        <f>'DEFAULT PROPERTIES and SETTINGS'!D21</f>
        <v>Clay soils (surface)</v>
      </c>
      <c r="T12" s="52"/>
      <c r="U12" s="83"/>
      <c r="V12" s="10"/>
    </row>
    <row r="13" spans="2:25" ht="13.5" thickBot="1">
      <c r="B13" s="54" t="s">
        <v>10</v>
      </c>
      <c r="C13" s="130" t="s">
        <v>29</v>
      </c>
      <c r="D13" s="131"/>
      <c r="J13" s="8">
        <f>'DEFAULT PROPERTIES and SETTINGS'!A22</f>
        <v>0</v>
      </c>
      <c r="K13" s="8">
        <f>'DEFAULT PROPERTIES and SETTINGS'!B22</f>
        <v>0</v>
      </c>
      <c r="M13" s="8" t="str">
        <f>'DEFAULT PROPERTIES and SETTINGS'!D22</f>
        <v>Clay</v>
      </c>
      <c r="T13" s="52"/>
      <c r="U13" s="83"/>
      <c r="V13" s="10"/>
      <c r="X13" s="8" t="str">
        <f>COMPUTATION!H1</f>
        <v>GPM</v>
      </c>
      <c r="Y13" s="8">
        <f>COMPUTATION!I1</f>
        <v>192.5133689839572</v>
      </c>
    </row>
    <row r="14" spans="2:25" ht="12.75">
      <c r="B14" s="59" t="s">
        <v>11</v>
      </c>
      <c r="C14" s="132" t="s">
        <v>54</v>
      </c>
      <c r="D14" s="133"/>
      <c r="F14" s="62" t="s">
        <v>76</v>
      </c>
      <c r="G14" s="63">
        <f>IF(G12=COMPUTATION!B74,COMPUTATION!B57,COMPUTATION!B76)</f>
        <v>240</v>
      </c>
      <c r="H14" s="64" t="str">
        <f>COMPUTATION!C57</f>
        <v>Feet/Day</v>
      </c>
      <c r="J14" s="8">
        <f>'DEFAULT PROPERTIES and SETTINGS'!A23</f>
        <v>0</v>
      </c>
      <c r="K14" s="8">
        <f>'DEFAULT PROPERTIES and SETTINGS'!B23</f>
        <v>0</v>
      </c>
      <c r="M14" s="8" t="str">
        <f>'DEFAULT PROPERTIES and SETTINGS'!D23</f>
        <v>Unweathered Marine Clay</v>
      </c>
      <c r="T14" s="52"/>
      <c r="U14" s="83"/>
      <c r="V14" s="10"/>
      <c r="X14" s="8" t="str">
        <f>COMPUTATION!H2</f>
        <v>ft3/d</v>
      </c>
      <c r="Y14" s="8">
        <f>COMPUTATION!I2</f>
        <v>1</v>
      </c>
    </row>
    <row r="15" spans="2:25" ht="13.5" thickBot="1">
      <c r="B15" s="65" t="s">
        <v>57</v>
      </c>
      <c r="C15" s="126" t="s">
        <v>29</v>
      </c>
      <c r="D15" s="127"/>
      <c r="F15" s="66" t="s">
        <v>75</v>
      </c>
      <c r="G15" s="124">
        <f>IF(G14=COMPUTATION!B76,COMPUTATION!B76,COMPUTATION!B53)</f>
        <v>9600</v>
      </c>
      <c r="H15" s="67" t="str">
        <f>CONCATENATE('DEFAULT PROPERTIES and SETTINGS'!$D$4,"²/",'DEFAULT PROPERTIES and SETTINGS'!$D$5)</f>
        <v>Feet²/Day</v>
      </c>
      <c r="J15" s="8">
        <f>'DEFAULT PROPERTIES and SETTINGS'!A24</f>
        <v>0</v>
      </c>
      <c r="K15" s="8">
        <f>'DEFAULT PROPERTIES and SETTINGS'!B24</f>
        <v>0</v>
      </c>
      <c r="M15" s="8" t="str">
        <f>'DEFAULT PROPERTIES and SETTINGS'!D24</f>
        <v>Karst</v>
      </c>
      <c r="T15" s="52"/>
      <c r="U15" s="83"/>
      <c r="V15" s="10"/>
      <c r="X15" s="8" t="str">
        <f>COMPUTATION!H3</f>
        <v>ft3/s</v>
      </c>
      <c r="Y15" s="8">
        <f>COMPUTATION!I3</f>
        <v>86400</v>
      </c>
    </row>
    <row r="16" spans="2:25" ht="18" customHeight="1">
      <c r="B16" s="122" t="s">
        <v>77</v>
      </c>
      <c r="C16" s="72">
        <v>167</v>
      </c>
      <c r="D16" s="73" t="s">
        <v>82</v>
      </c>
      <c r="E16" s="93"/>
      <c r="F16" s="92"/>
      <c r="G16" s="92"/>
      <c r="H16" s="92"/>
      <c r="J16" s="8">
        <f>'DEFAULT PROPERTIES and SETTINGS'!A25</f>
        <v>0</v>
      </c>
      <c r="K16" s="8">
        <f>'DEFAULT PROPERTIES and SETTINGS'!B25</f>
        <v>0</v>
      </c>
      <c r="M16" s="8" t="str">
        <f>'DEFAULT PROPERTIES and SETTINGS'!D25</f>
        <v>Reef Limestone</v>
      </c>
      <c r="T16" s="52"/>
      <c r="U16" s="83"/>
      <c r="V16" s="10"/>
      <c r="X16" s="8" t="str">
        <f>COMPUTATION!H4</f>
        <v>m3/d</v>
      </c>
      <c r="Y16" s="8">
        <f>COMPUTATION!I4</f>
        <v>35.39524537037036</v>
      </c>
    </row>
    <row r="17" spans="5:25" ht="14.25">
      <c r="E17" s="92">
        <f>COMPUTATION!A82</f>
      </c>
      <c r="J17" s="8">
        <f>'DEFAULT PROPERTIES and SETTINGS'!A26</f>
        <v>0</v>
      </c>
      <c r="K17" s="8">
        <f>'DEFAULT PROPERTIES and SETTINGS'!B26</f>
        <v>0</v>
      </c>
      <c r="M17" s="8" t="str">
        <f>'DEFAULT PROPERTIES and SETTINGS'!D26</f>
        <v>Limestone, Dolomite</v>
      </c>
      <c r="T17" s="52"/>
      <c r="U17" s="83"/>
      <c r="V17" s="10"/>
      <c r="X17" s="8" t="str">
        <f>COMPUTATION!H5</f>
        <v>m3/s</v>
      </c>
      <c r="Y17" s="8">
        <f>COMPUTATION!I5</f>
        <v>3058149.1999999993</v>
      </c>
    </row>
    <row r="18" spans="10:25" ht="12.75">
      <c r="J18" s="8">
        <f>'DEFAULT PROPERTIES and SETTINGS'!A27</f>
        <v>0</v>
      </c>
      <c r="K18" s="8">
        <f>'DEFAULT PROPERTIES and SETTINGS'!B27</f>
        <v>0</v>
      </c>
      <c r="M18" s="8" t="str">
        <f>'DEFAULT PROPERTIES and SETTINGS'!D27</f>
        <v>Fine-Grained Sandstone</v>
      </c>
      <c r="T18" s="52"/>
      <c r="U18" s="83"/>
      <c r="V18" s="10"/>
      <c r="X18" s="8" t="str">
        <f>COMPUTATION!H6</f>
        <v>liters/s</v>
      </c>
      <c r="Y18" s="8">
        <f>COMPUTATION!I6</f>
        <v>3058.1491999999994</v>
      </c>
    </row>
    <row r="19" spans="1:25" ht="12.75">
      <c r="A19" s="128" t="str">
        <f>DATA!O3</f>
        <v>SATURATED THICKNESS IN, FEET SQUARED</v>
      </c>
      <c r="J19" s="8">
        <f>'DEFAULT PROPERTIES and SETTINGS'!A28</f>
        <v>0</v>
      </c>
      <c r="K19" s="8">
        <f>'DEFAULT PROPERTIES and SETTINGS'!B28</f>
        <v>0</v>
      </c>
      <c r="M19" s="8" t="str">
        <f>'DEFAULT PROPERTIES and SETTINGS'!D28</f>
        <v>Medium-Grained Sandstone</v>
      </c>
      <c r="T19" s="52"/>
      <c r="U19" s="83"/>
      <c r="V19" s="10"/>
      <c r="X19" s="8" t="str">
        <f>COMPUTATION!H7</f>
        <v>liters/min</v>
      </c>
      <c r="Y19" s="8">
        <f>COMPUTATION!I7</f>
        <v>50.969153333333324</v>
      </c>
    </row>
    <row r="20" spans="1:25" ht="12.75">
      <c r="A20" s="129"/>
      <c r="J20" s="8">
        <f>'DEFAULT PROPERTIES and SETTINGS'!A29</f>
        <v>0</v>
      </c>
      <c r="K20" s="8">
        <f>'DEFAULT PROPERTIES and SETTINGS'!B29</f>
        <v>0</v>
      </c>
      <c r="M20" s="8" t="str">
        <f>'DEFAULT PROPERTIES and SETTINGS'!D29</f>
        <v>Siltstone</v>
      </c>
      <c r="T20" s="52"/>
      <c r="U20" s="83"/>
      <c r="V20" s="10"/>
      <c r="X20" s="8" t="str">
        <f>COMPUTATION!H8</f>
        <v>cc/s</v>
      </c>
      <c r="Y20" s="8">
        <f>COMPUTATION!I8</f>
        <v>3.0581491999999995</v>
      </c>
    </row>
    <row r="21" spans="1:22" ht="12.75">
      <c r="A21" s="129"/>
      <c r="C21" s="34"/>
      <c r="D21" s="34"/>
      <c r="J21" s="8">
        <f>'DEFAULT PROPERTIES and SETTINGS'!A30</f>
        <v>0</v>
      </c>
      <c r="K21" s="8">
        <f>'DEFAULT PROPERTIES and SETTINGS'!B30</f>
        <v>0</v>
      </c>
      <c r="M21" s="8" t="str">
        <f>'DEFAULT PROPERTIES and SETTINGS'!D30</f>
        <v>Claystone</v>
      </c>
      <c r="T21" s="52"/>
      <c r="U21" s="83"/>
      <c r="V21" s="10"/>
    </row>
    <row r="22" spans="1:22" ht="12.75">
      <c r="A22" s="129"/>
      <c r="B22" s="7"/>
      <c r="C22" s="34"/>
      <c r="D22" s="34"/>
      <c r="J22" s="8">
        <f>'DEFAULT PROPERTIES and SETTINGS'!A31</f>
        <v>0</v>
      </c>
      <c r="K22" s="8">
        <f>'DEFAULT PROPERTIES and SETTINGS'!B31</f>
        <v>0</v>
      </c>
      <c r="M22" s="8" t="str">
        <f>'DEFAULT PROPERTIES and SETTINGS'!D31</f>
        <v>Anhydrite</v>
      </c>
      <c r="T22" s="52"/>
      <c r="U22" s="83"/>
      <c r="V22" s="10"/>
    </row>
    <row r="23" spans="1:22" ht="12.75">
      <c r="A23" s="129"/>
      <c r="B23" s="7"/>
      <c r="C23" s="34"/>
      <c r="D23" s="34"/>
      <c r="J23" s="8">
        <f>'DEFAULT PROPERTIES and SETTINGS'!A32</f>
        <v>0</v>
      </c>
      <c r="K23" s="8">
        <f>'DEFAULT PROPERTIES and SETTINGS'!B32</f>
        <v>0</v>
      </c>
      <c r="M23" s="8" t="str">
        <f>'DEFAULT PROPERTIES and SETTINGS'!D32</f>
        <v>Shale</v>
      </c>
      <c r="T23" s="52"/>
      <c r="U23" s="83"/>
      <c r="V23" s="10"/>
    </row>
    <row r="24" spans="1:22" ht="12.75">
      <c r="A24" s="129"/>
      <c r="B24" s="7"/>
      <c r="C24" s="10"/>
      <c r="J24" s="8">
        <f>'DEFAULT PROPERTIES and SETTINGS'!A33</f>
        <v>0</v>
      </c>
      <c r="K24" s="8">
        <f>'DEFAULT PROPERTIES and SETTINGS'!B33</f>
        <v>0</v>
      </c>
      <c r="M24" s="8" t="str">
        <f>'DEFAULT PROPERTIES and SETTINGS'!D33</f>
        <v>Permeable Basalt</v>
      </c>
      <c r="T24" s="52"/>
      <c r="U24" s="83"/>
      <c r="V24" s="10"/>
    </row>
    <row r="25" spans="1:22" ht="12.75" customHeight="1">
      <c r="A25" s="129"/>
      <c r="C25" s="10"/>
      <c r="J25" s="8">
        <f>'DEFAULT PROPERTIES and SETTINGS'!A34</f>
        <v>0</v>
      </c>
      <c r="K25" s="8">
        <f>'DEFAULT PROPERTIES and SETTINGS'!B34</f>
        <v>0</v>
      </c>
      <c r="M25" s="8" t="str">
        <f>'DEFAULT PROPERTIES and SETTINGS'!D34</f>
        <v>Fractured Igneous and Metamorphic Rock</v>
      </c>
      <c r="T25" s="52"/>
      <c r="U25" s="83"/>
      <c r="V25" s="10"/>
    </row>
    <row r="26" spans="1:22" ht="12.75" customHeight="1">
      <c r="A26" s="129"/>
      <c r="J26" s="8">
        <f>'DEFAULT PROPERTIES and SETTINGS'!A35</f>
        <v>0</v>
      </c>
      <c r="K26" s="8">
        <f>'DEFAULT PROPERTIES and SETTINGS'!B35</f>
        <v>0</v>
      </c>
      <c r="M26" s="8" t="str">
        <f>'DEFAULT PROPERTIES and SETTINGS'!D35</f>
        <v>Weathered Granite</v>
      </c>
      <c r="T26" s="52"/>
      <c r="U26" s="83"/>
      <c r="V26" s="10"/>
    </row>
    <row r="27" spans="1:22" ht="12.75" customHeight="1">
      <c r="A27" s="129"/>
      <c r="C27" s="37"/>
      <c r="D27" s="37"/>
      <c r="J27" s="8">
        <f>'DEFAULT PROPERTIES and SETTINGS'!A36</f>
        <v>0</v>
      </c>
      <c r="K27" s="8">
        <f>'DEFAULT PROPERTIES and SETTINGS'!B36</f>
        <v>0</v>
      </c>
      <c r="M27" s="8" t="str">
        <f>'DEFAULT PROPERTIES and SETTINGS'!D36</f>
        <v>Weathered Gabbro</v>
      </c>
      <c r="T27" s="52"/>
      <c r="U27" s="83"/>
      <c r="V27" s="10"/>
    </row>
    <row r="28" spans="1:22" ht="12.75" customHeight="1">
      <c r="A28" s="129"/>
      <c r="C28" s="68"/>
      <c r="D28" s="37"/>
      <c r="J28" s="8">
        <f>'DEFAULT PROPERTIES and SETTINGS'!A37</f>
        <v>0</v>
      </c>
      <c r="K28" s="8">
        <f>'DEFAULT PROPERTIES and SETTINGS'!B37</f>
        <v>0</v>
      </c>
      <c r="M28" s="8" t="str">
        <f>'DEFAULT PROPERTIES and SETTINGS'!D37</f>
        <v>Basalt</v>
      </c>
      <c r="T28" s="52"/>
      <c r="U28" s="83"/>
      <c r="V28" s="10"/>
    </row>
    <row r="29" spans="1:22" ht="12.75" customHeight="1">
      <c r="A29" s="129"/>
      <c r="C29" s="69"/>
      <c r="J29" s="8">
        <f>'DEFAULT PROPERTIES and SETTINGS'!A38</f>
        <v>0</v>
      </c>
      <c r="K29" s="8">
        <f>'DEFAULT PROPERTIES and SETTINGS'!B38</f>
        <v>0</v>
      </c>
      <c r="M29" s="8" t="str">
        <f>'DEFAULT PROPERTIES and SETTINGS'!D38</f>
        <v>Unfractured Igneous and Metamorphic Rock </v>
      </c>
      <c r="T29" s="52"/>
      <c r="U29" s="83"/>
      <c r="V29" s="10"/>
    </row>
    <row r="30" spans="1:22" ht="12.75" customHeight="1">
      <c r="A30" s="129"/>
      <c r="C30" s="69"/>
      <c r="J30" s="8">
        <f>'DEFAULT PROPERTIES and SETTINGS'!A39</f>
        <v>0</v>
      </c>
      <c r="K30" s="8">
        <f>'DEFAULT PROPERTIES and SETTINGS'!B39</f>
        <v>0</v>
      </c>
      <c r="M30" s="8" t="str">
        <f>'DEFAULT PROPERTIES and SETTINGS'!D39</f>
        <v>Unfractured Igneous and Metamorphic Rock </v>
      </c>
      <c r="T30" s="52"/>
      <c r="U30" s="83"/>
      <c r="V30" s="10"/>
    </row>
    <row r="31" spans="1:22" ht="15.75" customHeight="1">
      <c r="A31" s="129"/>
      <c r="C31" s="69"/>
      <c r="T31" s="52"/>
      <c r="U31" s="83"/>
      <c r="V31" s="10"/>
    </row>
    <row r="32" spans="1:22" ht="12.75" customHeight="1">
      <c r="A32" s="129"/>
      <c r="C32" s="10"/>
      <c r="T32" s="52"/>
      <c r="U32" s="83"/>
      <c r="V32" s="10"/>
    </row>
    <row r="33" spans="1:22" ht="12.75" customHeight="1">
      <c r="A33" s="129"/>
      <c r="T33" s="52"/>
      <c r="U33" s="83"/>
      <c r="V33" s="10"/>
    </row>
    <row r="34" spans="1:22" ht="12.75" customHeight="1">
      <c r="A34" s="129"/>
      <c r="T34" s="52"/>
      <c r="U34" s="83"/>
      <c r="V34" s="10"/>
    </row>
    <row r="35" spans="1:22" ht="12.75" customHeight="1">
      <c r="A35" s="129"/>
      <c r="O35" s="110"/>
      <c r="T35" s="52"/>
      <c r="U35" s="83"/>
      <c r="V35" s="10"/>
    </row>
    <row r="36" spans="1:22" ht="12.75" customHeight="1">
      <c r="A36" s="129"/>
      <c r="O36" s="110"/>
      <c r="T36" s="52"/>
      <c r="U36" s="83"/>
      <c r="V36" s="10"/>
    </row>
    <row r="37" spans="1:22" ht="12.75" customHeight="1">
      <c r="A37" s="129"/>
      <c r="O37" s="110"/>
      <c r="T37" s="52"/>
      <c r="U37" s="83"/>
      <c r="V37" s="10"/>
    </row>
    <row r="38" spans="1:22" ht="12.75">
      <c r="A38" s="129"/>
      <c r="O38" s="110"/>
      <c r="T38" s="52"/>
      <c r="U38" s="83"/>
      <c r="V38" s="10"/>
    </row>
    <row r="39" spans="1:22" ht="12.75">
      <c r="A39" s="129"/>
      <c r="O39" s="110"/>
      <c r="T39" s="52"/>
      <c r="U39" s="83"/>
      <c r="V39" s="10"/>
    </row>
    <row r="40" spans="1:22" ht="12.75">
      <c r="A40" s="129"/>
      <c r="O40" s="110"/>
      <c r="T40" s="52"/>
      <c r="U40" s="83"/>
      <c r="V40" s="10"/>
    </row>
    <row r="41" spans="1:22" ht="12.75">
      <c r="A41" s="129"/>
      <c r="O41" s="110"/>
      <c r="T41" s="52"/>
      <c r="U41" s="83"/>
      <c r="V41" s="10"/>
    </row>
    <row r="42" spans="1:22" ht="12.75">
      <c r="A42" s="129"/>
      <c r="O42" s="110"/>
      <c r="T42" s="52"/>
      <c r="U42" s="83"/>
      <c r="V42" s="10"/>
    </row>
    <row r="43" spans="1:22" ht="12.75">
      <c r="A43" s="129"/>
      <c r="O43" s="110"/>
      <c r="T43" s="52"/>
      <c r="U43" s="83"/>
      <c r="V43" s="10"/>
    </row>
    <row r="44" spans="1:22" ht="12.75">
      <c r="A44" s="129"/>
      <c r="O44" s="110"/>
      <c r="T44" s="52"/>
      <c r="U44" s="83"/>
      <c r="V44" s="10"/>
    </row>
    <row r="45" spans="1:22" ht="12.75">
      <c r="A45" s="129"/>
      <c r="O45" s="110"/>
      <c r="T45" s="52"/>
      <c r="U45" s="83"/>
      <c r="V45" s="10"/>
    </row>
    <row r="46" spans="1:22" ht="12.75">
      <c r="A46" s="129"/>
      <c r="O46" s="110"/>
      <c r="T46" s="52"/>
      <c r="U46" s="83"/>
      <c r="V46" s="10"/>
    </row>
    <row r="47" spans="5:22" ht="14.25" customHeight="1">
      <c r="E47" s="114" t="str">
        <f>UPPER(CONCATENATE("DISTANCE IN, ",DATA!$I$7))</f>
        <v>DISTANCE IN, FEET</v>
      </c>
      <c r="O47" s="110"/>
      <c r="T47" s="52"/>
      <c r="U47" s="83"/>
      <c r="V47" s="10"/>
    </row>
    <row r="48" spans="15:22" ht="8.25" customHeight="1">
      <c r="O48" s="110"/>
      <c r="T48" s="52"/>
      <c r="U48" s="83"/>
      <c r="V48" s="10"/>
    </row>
    <row r="49" spans="2:22" ht="12.75">
      <c r="B49" s="8" t="s">
        <v>24</v>
      </c>
      <c r="I49" s="7" t="s">
        <v>127</v>
      </c>
      <c r="O49" s="110"/>
      <c r="T49" s="52"/>
      <c r="U49" s="83"/>
      <c r="V49" s="10"/>
    </row>
    <row r="50" spans="15:22" ht="12.75">
      <c r="O50" s="110"/>
      <c r="T50" s="52"/>
      <c r="U50" s="83"/>
      <c r="V50" s="10"/>
    </row>
    <row r="51" spans="15:22" ht="12.75">
      <c r="O51" s="110"/>
      <c r="T51" s="52"/>
      <c r="U51" s="83"/>
      <c r="V51" s="10"/>
    </row>
    <row r="52" spans="15:22" ht="12.75">
      <c r="O52" s="110"/>
      <c r="T52" s="52"/>
      <c r="U52" s="83"/>
      <c r="V52" s="10"/>
    </row>
    <row r="53" spans="15:22" ht="12.75">
      <c r="O53" s="110"/>
      <c r="T53" s="52"/>
      <c r="U53" s="83"/>
      <c r="V53" s="10"/>
    </row>
    <row r="54" spans="20:22" ht="12.75">
      <c r="T54" s="34"/>
      <c r="U54" s="70"/>
      <c r="V54" s="10"/>
    </row>
    <row r="55" spans="2:3" ht="12.75">
      <c r="B55" s="39"/>
      <c r="C55" s="111"/>
    </row>
    <row r="56" spans="2:7" ht="13.5" thickBot="1">
      <c r="B56" s="112" t="s">
        <v>129</v>
      </c>
      <c r="C56" s="87"/>
      <c r="D56" s="113" t="str">
        <f>CONCATENATE("DISTANCE, ",DATA!$I$7)</f>
        <v>DISTANCE, Feet</v>
      </c>
      <c r="E56" s="87"/>
      <c r="F56" s="115" t="str">
        <f>DATA!O1</f>
        <v>DRAWDOWN IN, FEET</v>
      </c>
      <c r="G56" s="87"/>
    </row>
    <row r="57" spans="2:6" ht="12.75">
      <c r="B57" s="110" t="str">
        <f>IF(ISBLANK(DATA!B8),$N$1,DATA!B8)</f>
        <v>AT5A</v>
      </c>
      <c r="D57" s="109">
        <f>IF($B57=$N$1,$N$1,DATA!I8)</f>
        <v>0.25</v>
      </c>
      <c r="F57" s="109">
        <f>IF($B57=$N$1,$N$1,DATA!M8)</f>
        <v>5.12</v>
      </c>
    </row>
    <row r="58" spans="2:6" ht="12.75">
      <c r="B58" s="110" t="str">
        <f>IF(ISBLANK(DATA!B9),$N$1,DATA!B9)</f>
        <v>141S</v>
      </c>
      <c r="D58" s="109">
        <f>IF(B58=$N$1,$N$1,DATA!I9)</f>
        <v>34.6</v>
      </c>
      <c r="F58" s="109">
        <f>IF($B58=$N$1,$N$1,DATA!M9)</f>
        <v>2.5</v>
      </c>
    </row>
    <row r="59" spans="2:6" ht="12.75">
      <c r="B59" s="110" t="str">
        <f>IF(ISBLANK(DATA!B10),$N$1,DATA!B10)</f>
        <v>MS40S</v>
      </c>
      <c r="D59" s="109">
        <f>IF(B59=$N$1,$N$1,DATA!I10)</f>
        <v>250</v>
      </c>
      <c r="F59" s="109">
        <f>IF($B59=$N$1,$N$1,DATA!M10)</f>
        <v>1.1</v>
      </c>
    </row>
    <row r="60" spans="2:6" ht="12.75">
      <c r="B60" s="110" t="str">
        <f>IF(ISBLANK(DATA!B11),$N$1,DATA!B11)</f>
        <v>MS41S</v>
      </c>
      <c r="D60" s="109">
        <f>IF(B60=$N$1,$N$1,DATA!I11)</f>
        <v>253</v>
      </c>
      <c r="F60" s="109">
        <f>IF($B60=$N$1,$N$1,DATA!M11)</f>
        <v>1.22</v>
      </c>
    </row>
    <row r="61" spans="2:6" ht="12.75">
      <c r="B61" s="110" t="str">
        <f>IF(ISBLANK(DATA!B12),$N$1,DATA!B12)</f>
        <v>MS40I</v>
      </c>
      <c r="D61" s="109">
        <f>IF(B61=$N$1,$N$1,DATA!I12)</f>
        <v>254</v>
      </c>
      <c r="F61" s="109">
        <f>IF($B61=$N$1,$N$1,DATA!M12)</f>
        <v>1.07</v>
      </c>
    </row>
    <row r="62" spans="2:6" ht="12.75">
      <c r="B62" s="110">
        <f>IF(ISBLANK(DATA!B13),$N$1,DATA!B13)</f>
      </c>
      <c r="D62" s="109">
        <f>IF(B62=$N$1,$N$1,DATA!I13)</f>
      </c>
      <c r="F62" s="109">
        <f>IF($B62=$N$1,$N$1,DATA!M13)</f>
      </c>
    </row>
    <row r="63" spans="2:6" ht="12.75">
      <c r="B63" s="110">
        <f>IF(ISBLANK(DATA!B14),$N$1,DATA!B14)</f>
      </c>
      <c r="D63" s="109">
        <f>IF(B63=$N$1,$N$1,DATA!I14)</f>
      </c>
      <c r="F63" s="109">
        <f>IF($B63=$N$1,$N$1,DATA!M14)</f>
      </c>
    </row>
    <row r="64" spans="2:6" ht="12.75">
      <c r="B64" s="110">
        <f>IF(ISBLANK(DATA!B15),$N$1,DATA!B15)</f>
      </c>
      <c r="D64" s="109">
        <f>IF(B64=$N$1,$N$1,DATA!I15)</f>
      </c>
      <c r="F64" s="109">
        <f>IF($B64=$N$1,$N$1,DATA!M15)</f>
      </c>
    </row>
    <row r="65" spans="2:6" ht="12.75">
      <c r="B65" s="110">
        <f>IF(ISBLANK(DATA!B16),$N$1,DATA!B16)</f>
      </c>
      <c r="D65" s="109">
        <f>IF(B65=$N$1,$N$1,DATA!I16)</f>
      </c>
      <c r="F65" s="109">
        <f>IF($B65=$N$1,$N$1,DATA!M16)</f>
      </c>
    </row>
    <row r="66" spans="2:6" ht="12.75">
      <c r="B66" s="110">
        <f>IF(ISBLANK(DATA!B17),$N$1,DATA!B17)</f>
      </c>
      <c r="D66" s="109">
        <f>IF(B66=$N$1,$N$1,DATA!I17)</f>
      </c>
      <c r="F66" s="109">
        <f>IF($B66=$N$1,$N$1,DATA!M17)</f>
      </c>
    </row>
    <row r="67" spans="2:6" ht="12.75">
      <c r="B67" s="110">
        <f>IF(ISBLANK(DATA!B18),$N$1,DATA!B18)</f>
      </c>
      <c r="D67" s="109">
        <f>IF(B67=$N$1,$N$1,DATA!I18)</f>
      </c>
      <c r="F67" s="109">
        <f>IF($B67=$N$1,$N$1,DATA!M18)</f>
      </c>
    </row>
    <row r="68" spans="2:6" ht="12.75">
      <c r="B68" s="110">
        <f>IF(ISBLANK(DATA!B19),$N$1,DATA!B19)</f>
      </c>
      <c r="D68" s="109">
        <f>IF(B68=$N$1,$N$1,DATA!I19)</f>
      </c>
      <c r="F68" s="109">
        <f>IF($B68=$N$1,$N$1,DATA!M19)</f>
      </c>
    </row>
    <row r="69" spans="2:6" ht="12.75">
      <c r="B69" s="110">
        <f>IF(ISBLANK(DATA!B20),$N$1,DATA!B20)</f>
      </c>
      <c r="D69" s="109">
        <f>IF(B69=$N$1,$N$1,DATA!I20)</f>
      </c>
      <c r="F69" s="109">
        <f>IF($B69=$N$1,$N$1,DATA!M20)</f>
      </c>
    </row>
    <row r="70" spans="2:6" ht="12.75">
      <c r="B70" s="110">
        <f>IF(ISBLANK(DATA!B21),$N$1,DATA!B21)</f>
      </c>
      <c r="D70" s="109">
        <f>IF(B70=$N$1,$N$1,DATA!I21)</f>
      </c>
      <c r="F70" s="109">
        <f>IF($B70=$N$1,$N$1,DATA!M21)</f>
      </c>
    </row>
    <row r="71" spans="2:6" ht="12.75">
      <c r="B71" s="110">
        <f>IF(ISBLANK(DATA!B22),$N$1,DATA!B22)</f>
      </c>
      <c r="D71" s="109">
        <f>IF(B71=$N$1,$N$1,DATA!I22)</f>
      </c>
      <c r="F71" s="109">
        <f>IF($B71=$N$1,$N$1,DATA!M22)</f>
      </c>
    </row>
    <row r="72" spans="2:6" ht="12.75">
      <c r="B72" s="110">
        <f>IF(ISBLANK(DATA!B23),$N$1,DATA!B23)</f>
      </c>
      <c r="D72" s="109">
        <f>IF(B72=$N$1,$N$1,DATA!I23)</f>
      </c>
      <c r="F72" s="109">
        <f>IF($B72=$N$1,$N$1,DATA!M23)</f>
      </c>
    </row>
    <row r="73" spans="2:6" ht="12.75">
      <c r="B73" s="110">
        <f>IF(ISBLANK(DATA!B24),$N$1,DATA!B24)</f>
      </c>
      <c r="D73" s="109">
        <f>IF(B73=$N$1,$N$1,DATA!I24)</f>
      </c>
      <c r="F73" s="109">
        <f>IF($B73=$N$1,$N$1,DATA!M24)</f>
      </c>
    </row>
    <row r="74" spans="2:6" ht="12.75">
      <c r="B74" s="110">
        <f>IF(ISBLANK(DATA!B25),$N$1,DATA!B25)</f>
      </c>
      <c r="D74" s="109">
        <f>IF(B74=$N$1,$N$1,DATA!I25)</f>
      </c>
      <c r="F74" s="109">
        <f>IF($B74=$N$1,$N$1,DATA!M25)</f>
      </c>
    </row>
    <row r="75" spans="2:6" ht="12.75">
      <c r="B75" s="110">
        <f>IF(ISBLANK(DATA!B26),$N$1,DATA!B26)</f>
      </c>
      <c r="D75" s="109">
        <f>IF(B75=$N$1,$N$1,DATA!I26)</f>
      </c>
      <c r="F75" s="109">
        <f>IF($B75=$N$1,$N$1,DATA!M26)</f>
      </c>
    </row>
    <row r="76" spans="2:6" ht="12.75">
      <c r="B76" s="110">
        <f>IF(ISBLANK(DATA!B27),$N$1,DATA!B27)</f>
      </c>
      <c r="D76" s="109">
        <f>IF(B76=$N$1,$N$1,DATA!I27)</f>
      </c>
      <c r="F76" s="109">
        <f>IF($B76=$N$1,$N$1,DATA!M27)</f>
      </c>
    </row>
    <row r="77" spans="2:6" ht="12.75">
      <c r="B77" s="110"/>
      <c r="D77" s="109"/>
      <c r="F77" s="10"/>
    </row>
    <row r="78" spans="1:6" ht="12.75">
      <c r="A78" s="125" t="str">
        <f>LEFT(DATA!O2,28)</f>
        <v>SATURATED THICKNESS IN, FEET</v>
      </c>
      <c r="B78" s="110"/>
      <c r="D78" s="109"/>
      <c r="F78" s="10"/>
    </row>
    <row r="79" spans="1:6" ht="12.75">
      <c r="A79" s="125"/>
      <c r="B79" s="110"/>
      <c r="D79" s="109"/>
      <c r="F79" s="10"/>
    </row>
    <row r="80" spans="1:6" ht="12.75">
      <c r="A80" s="125"/>
      <c r="B80" s="110"/>
      <c r="D80" s="109"/>
      <c r="F80" s="10"/>
    </row>
    <row r="81" spans="1:6" ht="12.75">
      <c r="A81" s="125"/>
      <c r="B81" s="110"/>
      <c r="D81" s="109"/>
      <c r="F81" s="10"/>
    </row>
    <row r="82" spans="1:6" ht="12.75">
      <c r="A82" s="125"/>
      <c r="B82" s="110"/>
      <c r="D82" s="109"/>
      <c r="F82" s="10"/>
    </row>
    <row r="83" spans="1:6" ht="12.75">
      <c r="A83" s="125"/>
      <c r="B83" s="110"/>
      <c r="D83" s="109"/>
      <c r="F83" s="10"/>
    </row>
    <row r="84" spans="1:6" ht="12.75">
      <c r="A84" s="125"/>
      <c r="B84" s="110"/>
      <c r="D84" s="109"/>
      <c r="F84" s="10"/>
    </row>
    <row r="85" spans="1:6" ht="12.75">
      <c r="A85" s="125"/>
      <c r="B85" s="110"/>
      <c r="D85" s="109"/>
      <c r="F85" s="10"/>
    </row>
    <row r="86" spans="1:6" ht="12.75">
      <c r="A86" s="125"/>
      <c r="B86" s="110"/>
      <c r="D86" s="109"/>
      <c r="F86" s="10"/>
    </row>
    <row r="87" spans="1:6" ht="12.75">
      <c r="A87" s="125"/>
      <c r="B87" s="110"/>
      <c r="D87" s="109"/>
      <c r="F87" s="10"/>
    </row>
    <row r="88" ht="12.75">
      <c r="A88" s="125"/>
    </row>
    <row r="89" ht="12.75">
      <c r="A89" s="125"/>
    </row>
    <row r="90" ht="12.75">
      <c r="A90" s="125"/>
    </row>
    <row r="91" ht="12.75">
      <c r="A91" s="125"/>
    </row>
    <row r="92" ht="12.75">
      <c r="A92" s="125"/>
    </row>
    <row r="93" ht="12.75">
      <c r="A93" s="125"/>
    </row>
    <row r="94" ht="12.75">
      <c r="A94" s="125"/>
    </row>
    <row r="95" ht="12.75">
      <c r="A95" s="125"/>
    </row>
    <row r="96" ht="12.75">
      <c r="A96" s="125"/>
    </row>
    <row r="97" ht="12.75">
      <c r="A97" s="125"/>
    </row>
    <row r="98" ht="12.75">
      <c r="A98" s="125"/>
    </row>
    <row r="99" ht="12.75">
      <c r="A99" s="125"/>
    </row>
    <row r="103" ht="12.75">
      <c r="E103" s="116" t="str">
        <f>E47</f>
        <v>DISTANCE IN, FEET</v>
      </c>
    </row>
  </sheetData>
  <sheetProtection sheet="1" objects="1" scenarios="1"/>
  <mergeCells count="5">
    <mergeCell ref="A78:A99"/>
    <mergeCell ref="C15:D15"/>
    <mergeCell ref="A19:A46"/>
    <mergeCell ref="C13:D13"/>
    <mergeCell ref="C14:D14"/>
  </mergeCells>
  <dataValidations count="5">
    <dataValidation type="list" allowBlank="1" showInputMessage="1" showErrorMessage="1" promptTitle="AQUIFER MATERIAL" prompt="Select a material that best describes the geologic medium " sqref="C15">
      <formula1>$M$2:$M$33</formula1>
    </dataValidation>
    <dataValidation type="list" allowBlank="1" showInputMessage="1" showErrorMessage="1" promptTitle="ANNULAR FILL ABOVE SCREEN" prompt="Describe annular seal above screened interval" sqref="C14">
      <formula1>$K$2:$K$5</formula1>
    </dataValidation>
    <dataValidation type="list" allowBlank="1" showInputMessage="1" showErrorMessage="1" promptTitle="ANNULAR FILL ACROSS SCREEN" prompt="Describe material between screen an aquifer" sqref="C13">
      <formula1>$J$2:$J$6</formula1>
    </dataValidation>
    <dataValidation type="list" showInputMessage="1" showErrorMessage="1" promptTitle="UNITS" prompt="Select from list" sqref="D5:D7">
      <formula1>$X$3:$X$7</formula1>
    </dataValidation>
    <dataValidation type="list" allowBlank="1" showInputMessage="1" showErrorMessage="1" sqref="D16">
      <formula1>$X$13:$X$20</formula1>
    </dataValidation>
  </dataValidations>
  <printOptions/>
  <pageMargins left="1.24" right="0.75" top="0.66" bottom="0.43" header="0.5" footer="0.25"/>
  <pageSetup horizontalDpi="600" verticalDpi="600" orientation="portrait" scale="85" r:id="rId2"/>
  <headerFooter alignWithMargins="0">
    <oddHeader>&amp;R&amp;F</oddHeader>
    <oddFooter>&amp;R&amp;F</oddFooter>
  </headerFooter>
  <rowBreaks count="1" manualBreakCount="1">
    <brk id="54" max="8" man="1"/>
  </rowBreaks>
  <colBreaks count="1" manualBreakCount="1">
    <brk id="13" max="10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1028"/>
  <sheetViews>
    <sheetView zoomScaleSheetLayoutView="100" workbookViewId="0" topLeftCell="B1">
      <selection activeCell="D21" sqref="D21"/>
    </sheetView>
  </sheetViews>
  <sheetFormatPr defaultColWidth="9.140625" defaultRowHeight="12.75"/>
  <cols>
    <col min="1" max="1" width="4.00390625" style="80" hidden="1" customWidth="1"/>
    <col min="2" max="2" width="8.57421875" style="20" customWidth="1"/>
    <col min="3" max="3" width="11.8515625" style="20" customWidth="1"/>
    <col min="4" max="4" width="8.8515625" style="20" customWidth="1"/>
    <col min="5" max="5" width="9.140625" style="20" customWidth="1"/>
    <col min="6" max="6" width="9.140625" style="80" customWidth="1"/>
    <col min="7" max="7" width="9.140625" style="80" hidden="1" customWidth="1"/>
    <col min="8" max="8" width="10.00390625" style="8" hidden="1" customWidth="1"/>
    <col min="9" max="9" width="10.421875" style="8" bestFit="1" customWidth="1"/>
    <col min="10" max="10" width="9.140625" style="34" customWidth="1"/>
    <col min="11" max="14" width="9.140625" style="8" customWidth="1"/>
    <col min="15" max="15" width="9.140625" style="8" hidden="1" customWidth="1"/>
    <col min="16" max="16" width="10.00390625" style="8" hidden="1" customWidth="1"/>
    <col min="17" max="18" width="9.140625" style="8" hidden="1" customWidth="1"/>
    <col min="19" max="19" width="5.7109375" style="8" hidden="1" customWidth="1"/>
    <col min="20" max="20" width="8.421875" style="8" hidden="1" customWidth="1"/>
    <col min="21" max="27" width="9.140625" style="8" hidden="1" customWidth="1"/>
    <col min="28" max="16384" width="9.140625" style="8" customWidth="1"/>
  </cols>
  <sheetData>
    <row r="1" spans="1:25" ht="12.75">
      <c r="A1" s="8"/>
      <c r="B1" s="8"/>
      <c r="C1" s="8"/>
      <c r="D1" s="7" t="s">
        <v>58</v>
      </c>
      <c r="E1" s="8">
        <f>COUNTIF(G8:G30,"&gt;0")</f>
        <v>5</v>
      </c>
      <c r="F1" s="8"/>
      <c r="G1" s="8"/>
      <c r="H1" s="7"/>
      <c r="I1" s="10"/>
      <c r="L1" s="8" t="str">
        <f>COMPUTATION!B31</f>
        <v>UNCONFINED</v>
      </c>
      <c r="O1" s="8" t="str">
        <f>CONCATENATE("DRAWDOWN IN, ",UPPER(J7))</f>
        <v>DRAWDOWN IN, FEET</v>
      </c>
      <c r="X1" s="8" t="s">
        <v>159</v>
      </c>
      <c r="Y1" s="8">
        <f>$E$1*Y6-W6^2</f>
        <v>33.890816968374466</v>
      </c>
    </row>
    <row r="2" spans="1:25" ht="12.75">
      <c r="A2" s="8"/>
      <c r="B2" s="8"/>
      <c r="C2" s="123"/>
      <c r="D2" s="134"/>
      <c r="E2" s="134"/>
      <c r="F2" s="134"/>
      <c r="G2" s="8"/>
      <c r="L2" s="8" t="s">
        <v>141</v>
      </c>
      <c r="O2" s="8" t="str">
        <f>CONCATENATE("SATURATED THICKNESS IN, ",UPPER(J7)," SQUARED")</f>
        <v>SATURATED THICKNESS IN, FEET SQUARED</v>
      </c>
      <c r="R2" s="7"/>
      <c r="X2" s="8" t="s">
        <v>160</v>
      </c>
      <c r="Y2" s="8">
        <f>$E$1*Z6-X6^2</f>
        <v>328963.6975303516</v>
      </c>
    </row>
    <row r="3" spans="1:25" ht="30" customHeight="1">
      <c r="A3" s="75"/>
      <c r="B3" s="75"/>
      <c r="C3" s="75"/>
      <c r="D3" s="76" t="s">
        <v>1</v>
      </c>
      <c r="E3" s="75"/>
      <c r="F3" s="75"/>
      <c r="G3" s="75"/>
      <c r="H3" s="77"/>
      <c r="I3" s="10"/>
      <c r="J3" s="101"/>
      <c r="K3" s="46"/>
      <c r="L3" s="7" t="s">
        <v>140</v>
      </c>
      <c r="M3" s="8">
        <f>COMPUTATION!B27/VLOOKUP($N$3,$S$7:$T$12,2,0)</f>
        <v>40</v>
      </c>
      <c r="N3" s="8" t="str">
        <f>J7</f>
        <v>Feet</v>
      </c>
      <c r="O3" s="8" t="str">
        <f>IF(L2=L1,O2,O1)</f>
        <v>SATURATED THICKNESS IN, FEET SQUARED</v>
      </c>
      <c r="R3" s="7" t="s">
        <v>16</v>
      </c>
      <c r="S3" s="8">
        <f>COMPUTATION!B42/VLOOKUP(D7,$S$8:$T$9,2,0)</f>
        <v>0.25</v>
      </c>
      <c r="X3" s="8" t="s">
        <v>161</v>
      </c>
      <c r="Y3" s="8">
        <f>$E$1*AA6-W6*X6</f>
        <v>3328.8235595562</v>
      </c>
    </row>
    <row r="4" spans="1:25" ht="13.5" customHeight="1">
      <c r="A4" s="75"/>
      <c r="B4" s="75"/>
      <c r="C4" s="75"/>
      <c r="D4" s="76"/>
      <c r="E4" s="75"/>
      <c r="F4" s="75"/>
      <c r="G4" s="75"/>
      <c r="H4" s="77"/>
      <c r="I4" s="10"/>
      <c r="J4" s="101"/>
      <c r="K4" s="46"/>
      <c r="L4" s="46"/>
      <c r="M4" s="45"/>
      <c r="R4" s="7" t="s">
        <v>138</v>
      </c>
      <c r="S4" s="8">
        <f>VLOOKUP(D7,$S$8:$T$9,2,0)/VLOOKUP(I7,$S$8:$T$9,2,0)</f>
        <v>1</v>
      </c>
      <c r="X4" s="8" t="s">
        <v>158</v>
      </c>
      <c r="Y4" s="8">
        <f>Y3/Y1</f>
        <v>98.22199218928606</v>
      </c>
    </row>
    <row r="5" spans="1:25" ht="13.5" customHeight="1">
      <c r="A5" s="75"/>
      <c r="B5" s="75"/>
      <c r="C5" s="78" t="s">
        <v>25</v>
      </c>
      <c r="D5" s="76"/>
      <c r="E5" s="75"/>
      <c r="F5" s="75"/>
      <c r="G5" s="75"/>
      <c r="H5" s="7"/>
      <c r="J5" s="101"/>
      <c r="R5" s="7" t="s">
        <v>139</v>
      </c>
      <c r="S5" s="8">
        <f>VLOOKUP(E7,$S$7:$T$12,2,0)/VLOOKUP(J7,$S$7:$T$12,2,0)</f>
        <v>1</v>
      </c>
      <c r="X5" s="8" t="s">
        <v>162</v>
      </c>
      <c r="Y5" s="8">
        <f>(X6-Y4*W6)/$E$1</f>
        <v>1271.138964563595</v>
      </c>
    </row>
    <row r="6" spans="1:27" ht="12.75">
      <c r="A6" s="8"/>
      <c r="B6" s="75"/>
      <c r="C6" s="8"/>
      <c r="D6" s="8"/>
      <c r="E6" s="8"/>
      <c r="F6" s="8"/>
      <c r="G6" s="8"/>
      <c r="H6" s="7"/>
      <c r="I6" s="79" t="s">
        <v>137</v>
      </c>
      <c r="J6" s="36" t="str">
        <f>IF(L1=L2,L7,M7)</f>
        <v>H², Feet</v>
      </c>
      <c r="W6" s="8">
        <f>SUM(W8:W27)</f>
        <v>8.142910353932608</v>
      </c>
      <c r="X6" s="8">
        <f>SUM(X8:X27)</f>
        <v>7155.5077</v>
      </c>
      <c r="Y6" s="8">
        <f>SUM(Y8:Y27)</f>
        <v>20.039561200111468</v>
      </c>
      <c r="Z6" s="8">
        <f>SUM(Z8:Z27)</f>
        <v>10306050.82845793</v>
      </c>
      <c r="AA6" s="8">
        <f>SUM(AA8:AA27)</f>
        <v>12319.096259506141</v>
      </c>
    </row>
    <row r="7" spans="1:27" ht="27.75" customHeight="1" thickBot="1">
      <c r="A7" s="43"/>
      <c r="B7" s="106" t="s">
        <v>129</v>
      </c>
      <c r="C7" s="107" t="s">
        <v>131</v>
      </c>
      <c r="D7" s="107" t="s">
        <v>70</v>
      </c>
      <c r="E7" s="108" t="s">
        <v>70</v>
      </c>
      <c r="G7" s="121" t="s">
        <v>131</v>
      </c>
      <c r="H7" s="6"/>
      <c r="I7" s="74" t="s">
        <v>70</v>
      </c>
      <c r="J7" s="102" t="s">
        <v>70</v>
      </c>
      <c r="L7" s="43" t="str">
        <f>CONCATENATE("H², ",J7)</f>
        <v>H², Feet</v>
      </c>
      <c r="M7" s="98" t="s">
        <v>80</v>
      </c>
      <c r="S7" s="8" t="str">
        <f>COMPUTATION!B1</f>
        <v>Inch</v>
      </c>
      <c r="T7" s="8">
        <f>COMPUTATION!C1</f>
        <v>0.08333333333333333</v>
      </c>
      <c r="V7" s="8" t="s">
        <v>156</v>
      </c>
      <c r="W7" s="8" t="s">
        <v>153</v>
      </c>
      <c r="X7" s="8" t="s">
        <v>157</v>
      </c>
      <c r="Y7" s="8" t="s">
        <v>154</v>
      </c>
      <c r="Z7" s="8" t="s">
        <v>155</v>
      </c>
      <c r="AA7" s="8" t="s">
        <v>136</v>
      </c>
    </row>
    <row r="8" spans="1:27" ht="12.75">
      <c r="A8" s="80">
        <v>1</v>
      </c>
      <c r="B8" s="75" t="str">
        <f>OUTPUT!E1</f>
        <v>AT5A</v>
      </c>
      <c r="C8" s="19"/>
      <c r="D8" s="19">
        <v>0</v>
      </c>
      <c r="E8" s="19">
        <v>5.12</v>
      </c>
      <c r="G8" s="34">
        <f>IF($C$7=$O$9,$S$3,IF(D8&gt;$S$3,D8,$S$3))</f>
        <v>0.25</v>
      </c>
      <c r="H8" s="53"/>
      <c r="I8" s="10">
        <f>IF(ISNUMBER(E8),G8*$S$4,I7)</f>
        <v>0.25</v>
      </c>
      <c r="J8" s="34">
        <f>IF(ISBLANK(E8),J7,IF($L$1=$L$2,L8,M8))</f>
        <v>1216.6144000000002</v>
      </c>
      <c r="L8" s="8">
        <f>($M$3-M8)^2</f>
        <v>1216.6144000000002</v>
      </c>
      <c r="M8" s="8">
        <f aca="true" t="shared" si="0" ref="M8:M27">E8*$S$5</f>
        <v>5.12</v>
      </c>
      <c r="O8" s="8" t="s">
        <v>131</v>
      </c>
      <c r="S8" s="8" t="str">
        <f>COMPUTATION!B2</f>
        <v>Feet</v>
      </c>
      <c r="T8" s="8">
        <f>COMPUTATION!C2</f>
        <v>1</v>
      </c>
      <c r="V8" s="8">
        <f>IF(ISBLANK(B8),0,1)</f>
        <v>1</v>
      </c>
      <c r="W8" s="8">
        <f>LOG(I8)*V8</f>
        <v>-0.6020599913279624</v>
      </c>
      <c r="X8" s="8">
        <f>V8*J8</f>
        <v>1216.6144000000002</v>
      </c>
      <c r="Y8" s="8">
        <f aca="true" t="shared" si="1" ref="Y8:Y27">W8^2</f>
        <v>0.3624762331578262</v>
      </c>
      <c r="Z8" s="8">
        <f aca="true" t="shared" si="2" ref="Z8:Z27">V8*J8^2</f>
        <v>1480150.5982873603</v>
      </c>
      <c r="AA8" s="8">
        <f aca="true" t="shared" si="3" ref="AA8:AA27">W8*J8</f>
        <v>-732.4748551134743</v>
      </c>
    </row>
    <row r="9" spans="1:27" ht="12.75">
      <c r="A9" s="80">
        <f>A8+1</f>
        <v>2</v>
      </c>
      <c r="B9" s="119" t="s">
        <v>132</v>
      </c>
      <c r="C9" s="97"/>
      <c r="D9" s="97">
        <v>34.6</v>
      </c>
      <c r="E9" s="97">
        <v>2.5</v>
      </c>
      <c r="G9" s="34">
        <f aca="true" t="shared" si="4" ref="G9:G27">IF(ISBLANK(C9),D9,((C9-$C$8)^2+(D9-$D$8)^2)^0.5)</f>
        <v>34.6</v>
      </c>
      <c r="H9" s="53"/>
      <c r="I9" s="10">
        <f aca="true" t="shared" si="5" ref="I9:I27">IF(ISNUMBER(E9),G9*$S$4,I8)</f>
        <v>34.6</v>
      </c>
      <c r="J9" s="34">
        <f aca="true" t="shared" si="6" ref="J9:J27">IF(ISBLANK(E9),J8,IF($L$1=$L$2,L9,M9))</f>
        <v>1406.25</v>
      </c>
      <c r="L9" s="8">
        <f aca="true" t="shared" si="7" ref="L9:L27">($M$3-M9)^2</f>
        <v>1406.25</v>
      </c>
      <c r="M9" s="8">
        <f t="shared" si="0"/>
        <v>2.5</v>
      </c>
      <c r="O9" s="8" t="s">
        <v>148</v>
      </c>
      <c r="S9" s="8" t="str">
        <f>COMPUTATION!B3</f>
        <v>Meter</v>
      </c>
      <c r="T9" s="8">
        <f>COMPUTATION!C3</f>
        <v>3.280839895013123</v>
      </c>
      <c r="V9" s="8">
        <f aca="true" t="shared" si="8" ref="V9:V27">IF(ISBLANK(B9),0,1)</f>
        <v>1</v>
      </c>
      <c r="W9" s="8">
        <f aca="true" t="shared" si="9" ref="W9:W27">LOG(I9)*V9</f>
        <v>1.5390760987927767</v>
      </c>
      <c r="X9" s="8">
        <f aca="true" t="shared" si="10" ref="X9:X27">V9*J9</f>
        <v>1406.25</v>
      </c>
      <c r="Y9" s="8">
        <f t="shared" si="1"/>
        <v>2.368755237875193</v>
      </c>
      <c r="Z9" s="8">
        <f t="shared" si="2"/>
        <v>1977539.0625</v>
      </c>
      <c r="AA9" s="8">
        <f t="shared" si="3"/>
        <v>2164.3257639273425</v>
      </c>
    </row>
    <row r="10" spans="1:27" ht="12.75">
      <c r="A10" s="80">
        <f aca="true" t="shared" si="11" ref="A10:A27">A9+1</f>
        <v>3</v>
      </c>
      <c r="B10" s="119" t="s">
        <v>133</v>
      </c>
      <c r="C10" s="97"/>
      <c r="D10" s="97">
        <v>250</v>
      </c>
      <c r="E10" s="97">
        <v>1.1</v>
      </c>
      <c r="G10" s="34">
        <f t="shared" si="4"/>
        <v>250</v>
      </c>
      <c r="H10" s="53"/>
      <c r="I10" s="10">
        <f t="shared" si="5"/>
        <v>250</v>
      </c>
      <c r="J10" s="34">
        <f t="shared" si="6"/>
        <v>1513.2099999999998</v>
      </c>
      <c r="L10" s="8">
        <f t="shared" si="7"/>
        <v>1513.2099999999998</v>
      </c>
      <c r="M10" s="8">
        <f t="shared" si="0"/>
        <v>1.1</v>
      </c>
      <c r="S10" s="8" t="str">
        <f>COMPUTATION!B4</f>
        <v>cm</v>
      </c>
      <c r="T10" s="8">
        <f>COMPUTATION!C4</f>
        <v>0.03280839895013123</v>
      </c>
      <c r="V10" s="8">
        <f t="shared" si="8"/>
        <v>1</v>
      </c>
      <c r="W10" s="8">
        <f t="shared" si="9"/>
        <v>2.3979400086720375</v>
      </c>
      <c r="X10" s="8">
        <f t="shared" si="10"/>
        <v>1513.2099999999998</v>
      </c>
      <c r="Y10" s="8">
        <f t="shared" si="1"/>
        <v>5.750116285190051</v>
      </c>
      <c r="Z10" s="8">
        <f t="shared" si="2"/>
        <v>2289804.5040999996</v>
      </c>
      <c r="AA10" s="8">
        <f t="shared" si="3"/>
        <v>3628.5868005226134</v>
      </c>
    </row>
    <row r="11" spans="1:27" ht="12.75">
      <c r="A11" s="80">
        <f t="shared" si="11"/>
        <v>4</v>
      </c>
      <c r="B11" s="119" t="s">
        <v>134</v>
      </c>
      <c r="C11" s="97"/>
      <c r="D11" s="97">
        <v>253</v>
      </c>
      <c r="E11" s="97">
        <v>1.22</v>
      </c>
      <c r="G11" s="34">
        <f t="shared" si="4"/>
        <v>253</v>
      </c>
      <c r="H11" s="53"/>
      <c r="I11" s="10">
        <f t="shared" si="5"/>
        <v>253</v>
      </c>
      <c r="J11" s="34">
        <f t="shared" si="6"/>
        <v>1503.8884</v>
      </c>
      <c r="L11" s="8">
        <f t="shared" si="7"/>
        <v>1503.8884</v>
      </c>
      <c r="M11" s="8">
        <f t="shared" si="0"/>
        <v>1.22</v>
      </c>
      <c r="S11" s="8" t="str">
        <f>COMPUTATION!B5</f>
        <v>mm</v>
      </c>
      <c r="T11" s="8">
        <f>COMPUTATION!C5</f>
        <v>0.0032808398950131233</v>
      </c>
      <c r="V11" s="8">
        <f t="shared" si="8"/>
        <v>1</v>
      </c>
      <c r="W11" s="8">
        <f t="shared" si="9"/>
        <v>2.403120521175818</v>
      </c>
      <c r="X11" s="8">
        <f t="shared" si="10"/>
        <v>1503.8884</v>
      </c>
      <c r="Y11" s="8">
        <f t="shared" si="1"/>
        <v>5.774988239296335</v>
      </c>
      <c r="Z11" s="8">
        <f t="shared" si="2"/>
        <v>2261680.31965456</v>
      </c>
      <c r="AA11" s="8">
        <f t="shared" si="3"/>
        <v>3614.025075598267</v>
      </c>
    </row>
    <row r="12" spans="1:27" ht="12.75">
      <c r="A12" s="80">
        <f t="shared" si="11"/>
        <v>5</v>
      </c>
      <c r="B12" s="119" t="s">
        <v>135</v>
      </c>
      <c r="C12" s="97"/>
      <c r="D12" s="97">
        <v>254</v>
      </c>
      <c r="E12" s="97">
        <v>1.07</v>
      </c>
      <c r="G12" s="34">
        <f t="shared" si="4"/>
        <v>254</v>
      </c>
      <c r="H12" s="53"/>
      <c r="I12" s="10">
        <f t="shared" si="5"/>
        <v>254</v>
      </c>
      <c r="J12" s="34">
        <f t="shared" si="6"/>
        <v>1515.5448999999999</v>
      </c>
      <c r="L12" s="8">
        <f t="shared" si="7"/>
        <v>1515.5448999999999</v>
      </c>
      <c r="M12" s="8">
        <f t="shared" si="0"/>
        <v>1.07</v>
      </c>
      <c r="S12" s="8" t="str">
        <f>COMPUTATION!B6</f>
        <v>PSI</v>
      </c>
      <c r="T12" s="8">
        <f>COMPUTATION!C6</f>
        <v>2.31</v>
      </c>
      <c r="V12" s="8">
        <f t="shared" si="8"/>
        <v>1</v>
      </c>
      <c r="W12" s="8">
        <f t="shared" si="9"/>
        <v>2.404833716619938</v>
      </c>
      <c r="X12" s="8">
        <f t="shared" si="10"/>
        <v>1515.5448999999999</v>
      </c>
      <c r="Y12" s="8">
        <f t="shared" si="1"/>
        <v>5.783225204592065</v>
      </c>
      <c r="Z12" s="8">
        <f t="shared" si="2"/>
        <v>2296876.3439160096</v>
      </c>
      <c r="AA12" s="8">
        <f t="shared" si="3"/>
        <v>3644.633474571392</v>
      </c>
    </row>
    <row r="13" spans="1:27" ht="12.75">
      <c r="A13" s="80">
        <f t="shared" si="11"/>
        <v>6</v>
      </c>
      <c r="B13" s="120"/>
      <c r="C13" s="97"/>
      <c r="D13" s="97"/>
      <c r="E13" s="97"/>
      <c r="G13" s="34">
        <f t="shared" si="4"/>
        <v>0</v>
      </c>
      <c r="H13" s="53"/>
      <c r="I13" s="10">
        <f t="shared" si="5"/>
        <v>254</v>
      </c>
      <c r="J13" s="34">
        <f t="shared" si="6"/>
        <v>1515.5448999999999</v>
      </c>
      <c r="L13" s="8">
        <f t="shared" si="7"/>
        <v>1600</v>
      </c>
      <c r="M13" s="8">
        <f t="shared" si="0"/>
        <v>0</v>
      </c>
      <c r="V13" s="8">
        <f t="shared" si="8"/>
        <v>0</v>
      </c>
      <c r="W13" s="8">
        <f t="shared" si="9"/>
        <v>0</v>
      </c>
      <c r="X13" s="8">
        <f t="shared" si="10"/>
        <v>0</v>
      </c>
      <c r="Y13" s="8">
        <f t="shared" si="1"/>
        <v>0</v>
      </c>
      <c r="Z13" s="8">
        <f t="shared" si="2"/>
        <v>0</v>
      </c>
      <c r="AA13" s="8">
        <f t="shared" si="3"/>
        <v>0</v>
      </c>
    </row>
    <row r="14" spans="1:27" ht="12.75">
      <c r="A14" s="80">
        <f t="shared" si="11"/>
        <v>7</v>
      </c>
      <c r="B14" s="120"/>
      <c r="C14" s="97"/>
      <c r="D14" s="97"/>
      <c r="E14" s="97"/>
      <c r="G14" s="34">
        <f t="shared" si="4"/>
        <v>0</v>
      </c>
      <c r="H14" s="53"/>
      <c r="I14" s="10">
        <f t="shared" si="5"/>
        <v>254</v>
      </c>
      <c r="J14" s="34">
        <f t="shared" si="6"/>
        <v>1515.5448999999999</v>
      </c>
      <c r="L14" s="8">
        <f t="shared" si="7"/>
        <v>1600</v>
      </c>
      <c r="M14" s="8">
        <f t="shared" si="0"/>
        <v>0</v>
      </c>
      <c r="V14" s="8">
        <f t="shared" si="8"/>
        <v>0</v>
      </c>
      <c r="W14" s="8">
        <f t="shared" si="9"/>
        <v>0</v>
      </c>
      <c r="X14" s="8">
        <f t="shared" si="10"/>
        <v>0</v>
      </c>
      <c r="Y14" s="8">
        <f t="shared" si="1"/>
        <v>0</v>
      </c>
      <c r="Z14" s="8">
        <f t="shared" si="2"/>
        <v>0</v>
      </c>
      <c r="AA14" s="8">
        <f t="shared" si="3"/>
        <v>0</v>
      </c>
    </row>
    <row r="15" spans="1:27" ht="12.75">
      <c r="A15" s="80">
        <f t="shared" si="11"/>
        <v>8</v>
      </c>
      <c r="B15" s="120"/>
      <c r="C15" s="97"/>
      <c r="D15" s="97"/>
      <c r="E15" s="97"/>
      <c r="G15" s="34">
        <f t="shared" si="4"/>
        <v>0</v>
      </c>
      <c r="H15" s="53"/>
      <c r="I15" s="10">
        <f t="shared" si="5"/>
        <v>254</v>
      </c>
      <c r="J15" s="34">
        <f t="shared" si="6"/>
        <v>1515.5448999999999</v>
      </c>
      <c r="L15" s="8">
        <f t="shared" si="7"/>
        <v>1600</v>
      </c>
      <c r="M15" s="8">
        <f t="shared" si="0"/>
        <v>0</v>
      </c>
      <c r="V15" s="8">
        <f t="shared" si="8"/>
        <v>0</v>
      </c>
      <c r="W15" s="8">
        <f t="shared" si="9"/>
        <v>0</v>
      </c>
      <c r="X15" s="8">
        <f t="shared" si="10"/>
        <v>0</v>
      </c>
      <c r="Y15" s="8">
        <f t="shared" si="1"/>
        <v>0</v>
      </c>
      <c r="Z15" s="8">
        <f t="shared" si="2"/>
        <v>0</v>
      </c>
      <c r="AA15" s="8">
        <f t="shared" si="3"/>
        <v>0</v>
      </c>
    </row>
    <row r="16" spans="1:27" ht="12.75">
      <c r="A16" s="80">
        <f t="shared" si="11"/>
        <v>9</v>
      </c>
      <c r="B16" s="120"/>
      <c r="C16" s="97"/>
      <c r="D16" s="97"/>
      <c r="E16" s="97"/>
      <c r="G16" s="34">
        <f t="shared" si="4"/>
        <v>0</v>
      </c>
      <c r="H16" s="53"/>
      <c r="I16" s="10">
        <f t="shared" si="5"/>
        <v>254</v>
      </c>
      <c r="J16" s="34">
        <f t="shared" si="6"/>
        <v>1515.5448999999999</v>
      </c>
      <c r="L16" s="8">
        <f t="shared" si="7"/>
        <v>1600</v>
      </c>
      <c r="M16" s="8">
        <f t="shared" si="0"/>
        <v>0</v>
      </c>
      <c r="V16" s="8">
        <f t="shared" si="8"/>
        <v>0</v>
      </c>
      <c r="W16" s="8">
        <f t="shared" si="9"/>
        <v>0</v>
      </c>
      <c r="X16" s="8">
        <f t="shared" si="10"/>
        <v>0</v>
      </c>
      <c r="Y16" s="8">
        <f t="shared" si="1"/>
        <v>0</v>
      </c>
      <c r="Z16" s="8">
        <f t="shared" si="2"/>
        <v>0</v>
      </c>
      <c r="AA16" s="8">
        <f t="shared" si="3"/>
        <v>0</v>
      </c>
    </row>
    <row r="17" spans="1:27" ht="12.75">
      <c r="A17" s="80">
        <f t="shared" si="11"/>
        <v>10</v>
      </c>
      <c r="B17" s="120"/>
      <c r="C17" s="97"/>
      <c r="D17" s="97"/>
      <c r="E17" s="97"/>
      <c r="G17" s="34">
        <f t="shared" si="4"/>
        <v>0</v>
      </c>
      <c r="H17" s="53"/>
      <c r="I17" s="10">
        <f t="shared" si="5"/>
        <v>254</v>
      </c>
      <c r="J17" s="34">
        <f t="shared" si="6"/>
        <v>1515.5448999999999</v>
      </c>
      <c r="L17" s="8">
        <f t="shared" si="7"/>
        <v>1600</v>
      </c>
      <c r="M17" s="8">
        <f t="shared" si="0"/>
        <v>0</v>
      </c>
      <c r="V17" s="8">
        <f t="shared" si="8"/>
        <v>0</v>
      </c>
      <c r="W17" s="8">
        <f t="shared" si="9"/>
        <v>0</v>
      </c>
      <c r="X17" s="8">
        <f t="shared" si="10"/>
        <v>0</v>
      </c>
      <c r="Y17" s="8">
        <f t="shared" si="1"/>
        <v>0</v>
      </c>
      <c r="Z17" s="8">
        <f t="shared" si="2"/>
        <v>0</v>
      </c>
      <c r="AA17" s="8">
        <f t="shared" si="3"/>
        <v>0</v>
      </c>
    </row>
    <row r="18" spans="1:27" ht="12.75">
      <c r="A18" s="80">
        <f t="shared" si="11"/>
        <v>11</v>
      </c>
      <c r="B18" s="120"/>
      <c r="C18" s="97"/>
      <c r="D18" s="97"/>
      <c r="E18" s="97"/>
      <c r="G18" s="34">
        <f t="shared" si="4"/>
        <v>0</v>
      </c>
      <c r="H18" s="53"/>
      <c r="I18" s="10">
        <f t="shared" si="5"/>
        <v>254</v>
      </c>
      <c r="J18" s="34">
        <f t="shared" si="6"/>
        <v>1515.5448999999999</v>
      </c>
      <c r="L18" s="8">
        <f t="shared" si="7"/>
        <v>1600</v>
      </c>
      <c r="M18" s="8">
        <f t="shared" si="0"/>
        <v>0</v>
      </c>
      <c r="V18" s="8">
        <f t="shared" si="8"/>
        <v>0</v>
      </c>
      <c r="W18" s="8">
        <f t="shared" si="9"/>
        <v>0</v>
      </c>
      <c r="X18" s="8">
        <f t="shared" si="10"/>
        <v>0</v>
      </c>
      <c r="Y18" s="8">
        <f t="shared" si="1"/>
        <v>0</v>
      </c>
      <c r="Z18" s="8">
        <f t="shared" si="2"/>
        <v>0</v>
      </c>
      <c r="AA18" s="8">
        <f t="shared" si="3"/>
        <v>0</v>
      </c>
    </row>
    <row r="19" spans="1:27" ht="12.75">
      <c r="A19" s="80">
        <f t="shared" si="11"/>
        <v>12</v>
      </c>
      <c r="B19" s="120"/>
      <c r="C19" s="97"/>
      <c r="D19" s="97"/>
      <c r="E19" s="97"/>
      <c r="G19" s="34">
        <f t="shared" si="4"/>
        <v>0</v>
      </c>
      <c r="H19" s="53"/>
      <c r="I19" s="10">
        <f t="shared" si="5"/>
        <v>254</v>
      </c>
      <c r="J19" s="34">
        <f t="shared" si="6"/>
        <v>1515.5448999999999</v>
      </c>
      <c r="L19" s="8">
        <f t="shared" si="7"/>
        <v>1600</v>
      </c>
      <c r="M19" s="8">
        <f t="shared" si="0"/>
        <v>0</v>
      </c>
      <c r="V19" s="8">
        <f t="shared" si="8"/>
        <v>0</v>
      </c>
      <c r="W19" s="8">
        <f t="shared" si="9"/>
        <v>0</v>
      </c>
      <c r="X19" s="8">
        <f t="shared" si="10"/>
        <v>0</v>
      </c>
      <c r="Y19" s="8">
        <f t="shared" si="1"/>
        <v>0</v>
      </c>
      <c r="Z19" s="8">
        <f t="shared" si="2"/>
        <v>0</v>
      </c>
      <c r="AA19" s="8">
        <f t="shared" si="3"/>
        <v>0</v>
      </c>
    </row>
    <row r="20" spans="1:27" ht="12.75">
      <c r="A20" s="80">
        <f t="shared" si="11"/>
        <v>13</v>
      </c>
      <c r="B20" s="120"/>
      <c r="C20" s="97"/>
      <c r="D20" s="97"/>
      <c r="E20" s="97"/>
      <c r="G20" s="34">
        <f t="shared" si="4"/>
        <v>0</v>
      </c>
      <c r="H20" s="53"/>
      <c r="I20" s="10">
        <f t="shared" si="5"/>
        <v>254</v>
      </c>
      <c r="J20" s="34">
        <f t="shared" si="6"/>
        <v>1515.5448999999999</v>
      </c>
      <c r="L20" s="8">
        <f t="shared" si="7"/>
        <v>1600</v>
      </c>
      <c r="M20" s="8">
        <f t="shared" si="0"/>
        <v>0</v>
      </c>
      <c r="V20" s="8">
        <f t="shared" si="8"/>
        <v>0</v>
      </c>
      <c r="W20" s="8">
        <f t="shared" si="9"/>
        <v>0</v>
      </c>
      <c r="X20" s="8">
        <f t="shared" si="10"/>
        <v>0</v>
      </c>
      <c r="Y20" s="8">
        <f t="shared" si="1"/>
        <v>0</v>
      </c>
      <c r="Z20" s="8">
        <f t="shared" si="2"/>
        <v>0</v>
      </c>
      <c r="AA20" s="8">
        <f t="shared" si="3"/>
        <v>0</v>
      </c>
    </row>
    <row r="21" spans="1:27" ht="12.75">
      <c r="A21" s="80">
        <f t="shared" si="11"/>
        <v>14</v>
      </c>
      <c r="B21" s="120"/>
      <c r="C21" s="97"/>
      <c r="D21" s="97"/>
      <c r="E21" s="97"/>
      <c r="G21" s="34">
        <f t="shared" si="4"/>
        <v>0</v>
      </c>
      <c r="H21" s="53"/>
      <c r="I21" s="10">
        <f t="shared" si="5"/>
        <v>254</v>
      </c>
      <c r="J21" s="34">
        <f t="shared" si="6"/>
        <v>1515.5448999999999</v>
      </c>
      <c r="L21" s="8">
        <f t="shared" si="7"/>
        <v>1600</v>
      </c>
      <c r="M21" s="8">
        <f t="shared" si="0"/>
        <v>0</v>
      </c>
      <c r="V21" s="8">
        <f t="shared" si="8"/>
        <v>0</v>
      </c>
      <c r="W21" s="8">
        <f t="shared" si="9"/>
        <v>0</v>
      </c>
      <c r="X21" s="8">
        <f t="shared" si="10"/>
        <v>0</v>
      </c>
      <c r="Y21" s="8">
        <f t="shared" si="1"/>
        <v>0</v>
      </c>
      <c r="Z21" s="8">
        <f t="shared" si="2"/>
        <v>0</v>
      </c>
      <c r="AA21" s="8">
        <f t="shared" si="3"/>
        <v>0</v>
      </c>
    </row>
    <row r="22" spans="1:27" ht="12.75">
      <c r="A22" s="80">
        <f t="shared" si="11"/>
        <v>15</v>
      </c>
      <c r="B22" s="120"/>
      <c r="C22" s="97"/>
      <c r="D22" s="97"/>
      <c r="E22" s="97"/>
      <c r="G22" s="34">
        <f t="shared" si="4"/>
        <v>0</v>
      </c>
      <c r="H22" s="53"/>
      <c r="I22" s="10">
        <f t="shared" si="5"/>
        <v>254</v>
      </c>
      <c r="J22" s="34">
        <f t="shared" si="6"/>
        <v>1515.5448999999999</v>
      </c>
      <c r="L22" s="8">
        <f t="shared" si="7"/>
        <v>1600</v>
      </c>
      <c r="M22" s="8">
        <f t="shared" si="0"/>
        <v>0</v>
      </c>
      <c r="V22" s="8">
        <f t="shared" si="8"/>
        <v>0</v>
      </c>
      <c r="W22" s="8">
        <f t="shared" si="9"/>
        <v>0</v>
      </c>
      <c r="X22" s="8">
        <f t="shared" si="10"/>
        <v>0</v>
      </c>
      <c r="Y22" s="8">
        <f t="shared" si="1"/>
        <v>0</v>
      </c>
      <c r="Z22" s="8">
        <f t="shared" si="2"/>
        <v>0</v>
      </c>
      <c r="AA22" s="8">
        <f t="shared" si="3"/>
        <v>0</v>
      </c>
    </row>
    <row r="23" spans="1:27" ht="12.75">
      <c r="A23" s="80">
        <f t="shared" si="11"/>
        <v>16</v>
      </c>
      <c r="B23" s="120"/>
      <c r="C23" s="97"/>
      <c r="D23" s="97"/>
      <c r="E23" s="97"/>
      <c r="G23" s="34">
        <f t="shared" si="4"/>
        <v>0</v>
      </c>
      <c r="H23" s="53"/>
      <c r="I23" s="10">
        <f t="shared" si="5"/>
        <v>254</v>
      </c>
      <c r="J23" s="34">
        <f t="shared" si="6"/>
        <v>1515.5448999999999</v>
      </c>
      <c r="L23" s="8">
        <f t="shared" si="7"/>
        <v>1600</v>
      </c>
      <c r="M23" s="8">
        <f t="shared" si="0"/>
        <v>0</v>
      </c>
      <c r="V23" s="8">
        <f t="shared" si="8"/>
        <v>0</v>
      </c>
      <c r="W23" s="8">
        <f t="shared" si="9"/>
        <v>0</v>
      </c>
      <c r="X23" s="8">
        <f t="shared" si="10"/>
        <v>0</v>
      </c>
      <c r="Y23" s="8">
        <f t="shared" si="1"/>
        <v>0</v>
      </c>
      <c r="Z23" s="8">
        <f t="shared" si="2"/>
        <v>0</v>
      </c>
      <c r="AA23" s="8">
        <f t="shared" si="3"/>
        <v>0</v>
      </c>
    </row>
    <row r="24" spans="1:27" ht="12.75">
      <c r="A24" s="80">
        <f t="shared" si="11"/>
        <v>17</v>
      </c>
      <c r="B24" s="120"/>
      <c r="C24" s="97"/>
      <c r="D24" s="97"/>
      <c r="E24" s="97"/>
      <c r="G24" s="34">
        <f t="shared" si="4"/>
        <v>0</v>
      </c>
      <c r="H24" s="53"/>
      <c r="I24" s="10">
        <f t="shared" si="5"/>
        <v>254</v>
      </c>
      <c r="J24" s="34">
        <f t="shared" si="6"/>
        <v>1515.5448999999999</v>
      </c>
      <c r="L24" s="8">
        <f t="shared" si="7"/>
        <v>1600</v>
      </c>
      <c r="M24" s="8">
        <f t="shared" si="0"/>
        <v>0</v>
      </c>
      <c r="V24" s="8">
        <f t="shared" si="8"/>
        <v>0</v>
      </c>
      <c r="W24" s="8">
        <f t="shared" si="9"/>
        <v>0</v>
      </c>
      <c r="X24" s="8">
        <f t="shared" si="10"/>
        <v>0</v>
      </c>
      <c r="Y24" s="8">
        <f t="shared" si="1"/>
        <v>0</v>
      </c>
      <c r="Z24" s="8">
        <f t="shared" si="2"/>
        <v>0</v>
      </c>
      <c r="AA24" s="8">
        <f t="shared" si="3"/>
        <v>0</v>
      </c>
    </row>
    <row r="25" spans="1:27" ht="12.75">
      <c r="A25" s="80">
        <f t="shared" si="11"/>
        <v>18</v>
      </c>
      <c r="B25" s="97"/>
      <c r="C25" s="97"/>
      <c r="D25" s="97"/>
      <c r="E25" s="97"/>
      <c r="G25" s="34">
        <f t="shared" si="4"/>
        <v>0</v>
      </c>
      <c r="H25" s="53"/>
      <c r="I25" s="10">
        <f t="shared" si="5"/>
        <v>254</v>
      </c>
      <c r="J25" s="34">
        <f t="shared" si="6"/>
        <v>1515.5448999999999</v>
      </c>
      <c r="L25" s="8">
        <f t="shared" si="7"/>
        <v>1600</v>
      </c>
      <c r="M25" s="8">
        <f t="shared" si="0"/>
        <v>0</v>
      </c>
      <c r="V25" s="8">
        <f t="shared" si="8"/>
        <v>0</v>
      </c>
      <c r="W25" s="8">
        <f t="shared" si="9"/>
        <v>0</v>
      </c>
      <c r="X25" s="8">
        <f t="shared" si="10"/>
        <v>0</v>
      </c>
      <c r="Y25" s="8">
        <f t="shared" si="1"/>
        <v>0</v>
      </c>
      <c r="Z25" s="8">
        <f t="shared" si="2"/>
        <v>0</v>
      </c>
      <c r="AA25" s="8">
        <f t="shared" si="3"/>
        <v>0</v>
      </c>
    </row>
    <row r="26" spans="1:27" ht="12.75">
      <c r="A26" s="80">
        <f t="shared" si="11"/>
        <v>19</v>
      </c>
      <c r="B26" s="97"/>
      <c r="C26" s="97"/>
      <c r="D26" s="97"/>
      <c r="E26" s="97"/>
      <c r="G26" s="34">
        <f t="shared" si="4"/>
        <v>0</v>
      </c>
      <c r="H26" s="53"/>
      <c r="I26" s="10">
        <f t="shared" si="5"/>
        <v>254</v>
      </c>
      <c r="J26" s="34">
        <f t="shared" si="6"/>
        <v>1515.5448999999999</v>
      </c>
      <c r="L26" s="8">
        <f t="shared" si="7"/>
        <v>1600</v>
      </c>
      <c r="M26" s="8">
        <f t="shared" si="0"/>
        <v>0</v>
      </c>
      <c r="V26" s="8">
        <f t="shared" si="8"/>
        <v>0</v>
      </c>
      <c r="W26" s="8">
        <f t="shared" si="9"/>
        <v>0</v>
      </c>
      <c r="X26" s="8">
        <f t="shared" si="10"/>
        <v>0</v>
      </c>
      <c r="Y26" s="8">
        <f t="shared" si="1"/>
        <v>0</v>
      </c>
      <c r="Z26" s="8">
        <f t="shared" si="2"/>
        <v>0</v>
      </c>
      <c r="AA26" s="8">
        <f t="shared" si="3"/>
        <v>0</v>
      </c>
    </row>
    <row r="27" spans="1:27" ht="12.75">
      <c r="A27" s="80">
        <f t="shared" si="11"/>
        <v>20</v>
      </c>
      <c r="G27" s="34">
        <f t="shared" si="4"/>
        <v>0</v>
      </c>
      <c r="H27" s="53"/>
      <c r="I27" s="10">
        <f t="shared" si="5"/>
        <v>254</v>
      </c>
      <c r="J27" s="34">
        <f t="shared" si="6"/>
        <v>1515.5448999999999</v>
      </c>
      <c r="L27" s="8">
        <f t="shared" si="7"/>
        <v>1600</v>
      </c>
      <c r="M27" s="8">
        <f t="shared" si="0"/>
        <v>0</v>
      </c>
      <c r="V27" s="8">
        <f t="shared" si="8"/>
        <v>0</v>
      </c>
      <c r="W27" s="8">
        <f t="shared" si="9"/>
        <v>0</v>
      </c>
      <c r="X27" s="8">
        <f t="shared" si="10"/>
        <v>0</v>
      </c>
      <c r="Y27" s="8">
        <f t="shared" si="1"/>
        <v>0</v>
      </c>
      <c r="Z27" s="8">
        <f t="shared" si="2"/>
        <v>0</v>
      </c>
      <c r="AA27" s="8">
        <f t="shared" si="3"/>
        <v>0</v>
      </c>
    </row>
    <row r="28" spans="7:9" ht="12.75">
      <c r="G28" s="34"/>
      <c r="H28" s="53"/>
      <c r="I28" s="34"/>
    </row>
    <row r="29" spans="7:9" ht="12.75">
      <c r="G29" s="34"/>
      <c r="H29" s="53"/>
      <c r="I29" s="34"/>
    </row>
    <row r="30" spans="7:9" ht="12.75">
      <c r="G30" s="34"/>
      <c r="H30" s="53"/>
      <c r="I30" s="34"/>
    </row>
    <row r="31" spans="7:9" ht="12.75">
      <c r="G31" s="34"/>
      <c r="H31" s="53"/>
      <c r="I31" s="34"/>
    </row>
    <row r="32" spans="7:9" ht="12.75">
      <c r="G32" s="34"/>
      <c r="H32" s="53"/>
      <c r="I32" s="34"/>
    </row>
    <row r="33" spans="7:9" ht="12.75">
      <c r="G33" s="34"/>
      <c r="H33" s="53"/>
      <c r="I33" s="34"/>
    </row>
    <row r="34" spans="7:9" ht="12.75">
      <c r="G34" s="34"/>
      <c r="H34" s="53"/>
      <c r="I34" s="34"/>
    </row>
    <row r="35" spans="7:9" ht="12.75">
      <c r="G35" s="34"/>
      <c r="H35" s="53"/>
      <c r="I35" s="34"/>
    </row>
    <row r="36" spans="7:9" ht="12.75">
      <c r="G36" s="34"/>
      <c r="H36" s="53"/>
      <c r="I36" s="34"/>
    </row>
    <row r="37" spans="7:9" ht="12.75">
      <c r="G37" s="34"/>
      <c r="H37" s="53"/>
      <c r="I37" s="34"/>
    </row>
    <row r="38" spans="7:9" ht="12.75">
      <c r="G38" s="34"/>
      <c r="H38" s="53"/>
      <c r="I38" s="34"/>
    </row>
    <row r="39" spans="7:9" ht="12.75">
      <c r="G39" s="34"/>
      <c r="H39" s="53"/>
      <c r="I39" s="34"/>
    </row>
    <row r="40" spans="7:9" ht="12.75">
      <c r="G40" s="34"/>
      <c r="H40" s="53"/>
      <c r="I40" s="34"/>
    </row>
    <row r="41" spans="7:9" ht="12.75">
      <c r="G41" s="34"/>
      <c r="H41" s="53"/>
      <c r="I41" s="34"/>
    </row>
    <row r="42" spans="7:9" ht="12.75">
      <c r="G42" s="34"/>
      <c r="H42" s="53"/>
      <c r="I42" s="34"/>
    </row>
    <row r="43" spans="7:9" ht="12.75">
      <c r="G43" s="34"/>
      <c r="H43" s="53"/>
      <c r="I43" s="34"/>
    </row>
    <row r="44" spans="7:9" ht="12.75">
      <c r="G44" s="34"/>
      <c r="H44" s="53"/>
      <c r="I44" s="34"/>
    </row>
    <row r="45" spans="7:9" ht="12.75">
      <c r="G45" s="34"/>
      <c r="H45" s="53"/>
      <c r="I45" s="34"/>
    </row>
    <row r="46" spans="7:9" ht="12.75">
      <c r="G46" s="34"/>
      <c r="H46" s="53"/>
      <c r="I46" s="34"/>
    </row>
    <row r="47" spans="7:9" ht="12.75">
      <c r="G47" s="34"/>
      <c r="H47" s="53"/>
      <c r="I47" s="34"/>
    </row>
    <row r="48" spans="7:9" ht="12.75">
      <c r="G48" s="34"/>
      <c r="H48" s="53"/>
      <c r="I48" s="34"/>
    </row>
    <row r="49" spans="7:9" ht="12.75">
      <c r="G49" s="34"/>
      <c r="H49" s="53"/>
      <c r="I49" s="34"/>
    </row>
    <row r="50" spans="7:9" ht="12.75">
      <c r="G50" s="34"/>
      <c r="H50" s="53"/>
      <c r="I50" s="34"/>
    </row>
    <row r="51" spans="7:9" ht="12.75">
      <c r="G51" s="34"/>
      <c r="H51" s="53"/>
      <c r="I51" s="34"/>
    </row>
    <row r="52" spans="7:9" ht="12.75">
      <c r="G52" s="34"/>
      <c r="H52" s="53"/>
      <c r="I52" s="34"/>
    </row>
    <row r="53" spans="7:9" ht="12.75">
      <c r="G53" s="34"/>
      <c r="H53" s="53"/>
      <c r="I53" s="34"/>
    </row>
    <row r="54" spans="7:9" ht="12.75">
      <c r="G54" s="34"/>
      <c r="H54" s="53"/>
      <c r="I54" s="34"/>
    </row>
    <row r="55" spans="7:9" ht="12.75">
      <c r="G55" s="34"/>
      <c r="H55" s="53"/>
      <c r="I55" s="34"/>
    </row>
    <row r="56" spans="7:9" ht="12.75">
      <c r="G56" s="34"/>
      <c r="H56" s="53"/>
      <c r="I56" s="34"/>
    </row>
    <row r="57" spans="7:9" ht="12.75">
      <c r="G57" s="34"/>
      <c r="H57" s="53"/>
      <c r="I57" s="34"/>
    </row>
    <row r="58" spans="7:9" ht="12.75">
      <c r="G58" s="34"/>
      <c r="H58" s="53"/>
      <c r="I58" s="34"/>
    </row>
    <row r="59" spans="7:9" ht="12.75">
      <c r="G59" s="34"/>
      <c r="H59" s="53"/>
      <c r="I59" s="34"/>
    </row>
    <row r="60" spans="7:9" ht="12.75">
      <c r="G60" s="34"/>
      <c r="H60" s="53"/>
      <c r="I60" s="34"/>
    </row>
    <row r="61" spans="7:9" ht="12.75">
      <c r="G61" s="34"/>
      <c r="H61" s="53"/>
      <c r="I61" s="34"/>
    </row>
    <row r="62" spans="7:9" ht="12.75">
      <c r="G62" s="34"/>
      <c r="H62" s="53"/>
      <c r="I62" s="34"/>
    </row>
    <row r="63" spans="7:9" ht="12.75">
      <c r="G63" s="34"/>
      <c r="H63" s="53"/>
      <c r="I63" s="34"/>
    </row>
    <row r="64" spans="7:9" ht="12.75">
      <c r="G64" s="34"/>
      <c r="H64" s="53"/>
      <c r="I64" s="34"/>
    </row>
    <row r="65" spans="7:9" ht="12.75">
      <c r="G65" s="34"/>
      <c r="H65" s="53"/>
      <c r="I65" s="34"/>
    </row>
    <row r="66" spans="7:9" ht="12.75">
      <c r="G66" s="34"/>
      <c r="H66" s="53"/>
      <c r="I66" s="34"/>
    </row>
    <row r="67" spans="7:9" ht="12.75">
      <c r="G67" s="34"/>
      <c r="H67" s="53"/>
      <c r="I67" s="34"/>
    </row>
    <row r="68" spans="7:9" ht="12.75">
      <c r="G68" s="34"/>
      <c r="H68" s="53"/>
      <c r="I68" s="34"/>
    </row>
    <row r="69" spans="7:9" ht="12.75">
      <c r="G69" s="34"/>
      <c r="H69" s="53"/>
      <c r="I69" s="34"/>
    </row>
    <row r="70" spans="7:9" ht="12.75">
      <c r="G70" s="34"/>
      <c r="H70" s="53"/>
      <c r="I70" s="34"/>
    </row>
    <row r="71" spans="7:9" ht="12.75">
      <c r="G71" s="34"/>
      <c r="H71" s="53"/>
      <c r="I71" s="34"/>
    </row>
    <row r="72" spans="7:9" ht="12.75">
      <c r="G72" s="34"/>
      <c r="H72" s="53"/>
      <c r="I72" s="34"/>
    </row>
    <row r="73" spans="7:9" ht="12.75">
      <c r="G73" s="34"/>
      <c r="H73" s="53"/>
      <c r="I73" s="34"/>
    </row>
    <row r="74" spans="7:9" ht="12.75">
      <c r="G74" s="34"/>
      <c r="H74" s="53"/>
      <c r="I74" s="34"/>
    </row>
    <row r="75" spans="7:9" ht="12.75">
      <c r="G75" s="34"/>
      <c r="H75" s="53"/>
      <c r="I75" s="34"/>
    </row>
    <row r="76" spans="7:9" ht="12.75">
      <c r="G76" s="34"/>
      <c r="H76" s="53"/>
      <c r="I76" s="34"/>
    </row>
    <row r="77" spans="7:9" ht="12.75">
      <c r="G77" s="34"/>
      <c r="H77" s="53"/>
      <c r="I77" s="34"/>
    </row>
    <row r="78" spans="7:9" ht="12.75">
      <c r="G78" s="34"/>
      <c r="H78" s="53"/>
      <c r="I78" s="34"/>
    </row>
    <row r="79" spans="7:9" ht="12.75">
      <c r="G79" s="34"/>
      <c r="H79" s="53"/>
      <c r="I79" s="34"/>
    </row>
    <row r="80" spans="7:9" ht="12.75">
      <c r="G80" s="34"/>
      <c r="H80" s="53"/>
      <c r="I80" s="34"/>
    </row>
    <row r="81" spans="7:9" ht="12.75">
      <c r="G81" s="34"/>
      <c r="H81" s="53"/>
      <c r="I81" s="34"/>
    </row>
    <row r="82" spans="7:9" ht="12.75">
      <c r="G82" s="34"/>
      <c r="H82" s="53"/>
      <c r="I82" s="34"/>
    </row>
    <row r="83" spans="7:9" ht="12.75">
      <c r="G83" s="34"/>
      <c r="H83" s="53"/>
      <c r="I83" s="34"/>
    </row>
    <row r="84" spans="7:9" ht="12.75">
      <c r="G84" s="34"/>
      <c r="H84" s="53"/>
      <c r="I84" s="34"/>
    </row>
    <row r="85" spans="7:9" ht="12.75">
      <c r="G85" s="34"/>
      <c r="H85" s="53"/>
      <c r="I85" s="34"/>
    </row>
    <row r="86" spans="7:9" ht="12.75">
      <c r="G86" s="34"/>
      <c r="H86" s="53"/>
      <c r="I86" s="34"/>
    </row>
    <row r="87" spans="7:9" ht="12.75">
      <c r="G87" s="34"/>
      <c r="H87" s="53"/>
      <c r="I87" s="34"/>
    </row>
    <row r="88" spans="7:9" ht="12.75">
      <c r="G88" s="34"/>
      <c r="H88" s="53"/>
      <c r="I88" s="34"/>
    </row>
    <row r="89" spans="7:9" ht="12.75">
      <c r="G89" s="34"/>
      <c r="H89" s="53"/>
      <c r="I89" s="34"/>
    </row>
    <row r="90" spans="7:9" ht="12.75">
      <c r="G90" s="34"/>
      <c r="H90" s="53"/>
      <c r="I90" s="34"/>
    </row>
    <row r="91" spans="7:9" ht="12.75">
      <c r="G91" s="34"/>
      <c r="H91" s="53"/>
      <c r="I91" s="34"/>
    </row>
    <row r="92" spans="7:9" ht="12.75">
      <c r="G92" s="34"/>
      <c r="H92" s="53"/>
      <c r="I92" s="34"/>
    </row>
    <row r="93" spans="7:9" ht="12.75">
      <c r="G93" s="34"/>
      <c r="H93" s="53"/>
      <c r="I93" s="34"/>
    </row>
    <row r="94" spans="7:9" ht="12.75">
      <c r="G94" s="34"/>
      <c r="H94" s="53"/>
      <c r="I94" s="34"/>
    </row>
    <row r="95" spans="7:9" ht="12.75">
      <c r="G95" s="34"/>
      <c r="H95" s="53"/>
      <c r="I95" s="34"/>
    </row>
    <row r="96" spans="7:9" ht="12.75">
      <c r="G96" s="34"/>
      <c r="H96" s="53"/>
      <c r="I96" s="34"/>
    </row>
    <row r="97" spans="7:9" ht="12.75">
      <c r="G97" s="34"/>
      <c r="H97" s="53"/>
      <c r="I97" s="34"/>
    </row>
    <row r="98" spans="7:9" ht="12.75">
      <c r="G98" s="34"/>
      <c r="H98" s="53"/>
      <c r="I98" s="34"/>
    </row>
    <row r="99" spans="7:9" ht="12.75">
      <c r="G99" s="34"/>
      <c r="H99" s="53"/>
      <c r="I99" s="34"/>
    </row>
    <row r="100" spans="7:9" ht="12.75">
      <c r="G100" s="34"/>
      <c r="H100" s="53"/>
      <c r="I100" s="34"/>
    </row>
    <row r="101" spans="7:9" ht="12.75">
      <c r="G101" s="34"/>
      <c r="H101" s="53"/>
      <c r="I101" s="34"/>
    </row>
    <row r="102" spans="7:9" ht="12.75">
      <c r="G102" s="34"/>
      <c r="H102" s="53"/>
      <c r="I102" s="34"/>
    </row>
    <row r="103" spans="7:9" ht="12.75">
      <c r="G103" s="34"/>
      <c r="H103" s="53"/>
      <c r="I103" s="81"/>
    </row>
    <row r="104" spans="7:9" ht="12.75">
      <c r="G104" s="34"/>
      <c r="H104" s="53"/>
      <c r="I104" s="81"/>
    </row>
    <row r="105" spans="7:9" ht="12.75">
      <c r="G105" s="34"/>
      <c r="H105" s="53"/>
      <c r="I105" s="81"/>
    </row>
    <row r="106" spans="7:9" ht="12.75">
      <c r="G106" s="34"/>
      <c r="H106" s="53"/>
      <c r="I106" s="81"/>
    </row>
    <row r="107" spans="7:9" ht="12.75">
      <c r="G107" s="34"/>
      <c r="H107" s="53"/>
      <c r="I107" s="81"/>
    </row>
    <row r="108" spans="7:9" ht="12.75">
      <c r="G108" s="34"/>
      <c r="H108" s="53"/>
      <c r="I108" s="81"/>
    </row>
    <row r="109" spans="7:9" ht="12.75">
      <c r="G109" s="34"/>
      <c r="H109" s="53"/>
      <c r="I109" s="81"/>
    </row>
    <row r="110" spans="7:9" ht="12.75">
      <c r="G110" s="34"/>
      <c r="H110" s="53"/>
      <c r="I110" s="81"/>
    </row>
    <row r="111" spans="7:9" ht="12.75">
      <c r="G111" s="34"/>
      <c r="H111" s="53"/>
      <c r="I111" s="81"/>
    </row>
    <row r="112" spans="7:9" ht="12.75">
      <c r="G112" s="34"/>
      <c r="H112" s="53"/>
      <c r="I112" s="81"/>
    </row>
    <row r="113" spans="7:9" ht="12.75">
      <c r="G113" s="34"/>
      <c r="H113" s="53"/>
      <c r="I113" s="81"/>
    </row>
    <row r="114" spans="7:9" ht="12.75">
      <c r="G114" s="34"/>
      <c r="H114" s="53"/>
      <c r="I114" s="81"/>
    </row>
    <row r="115" spans="7:9" ht="12.75">
      <c r="G115" s="34"/>
      <c r="H115" s="53"/>
      <c r="I115" s="81"/>
    </row>
    <row r="116" spans="7:9" ht="12.75">
      <c r="G116" s="34"/>
      <c r="H116" s="53"/>
      <c r="I116" s="81"/>
    </row>
    <row r="117" spans="7:9" ht="12.75">
      <c r="G117" s="34"/>
      <c r="H117" s="53"/>
      <c r="I117" s="81"/>
    </row>
    <row r="118" spans="7:9" ht="12.75">
      <c r="G118" s="34"/>
      <c r="H118" s="53"/>
      <c r="I118" s="81"/>
    </row>
    <row r="119" spans="7:9" ht="12.75">
      <c r="G119" s="34"/>
      <c r="H119" s="53"/>
      <c r="I119" s="81"/>
    </row>
    <row r="120" spans="7:9" ht="12.75">
      <c r="G120" s="34"/>
      <c r="H120" s="53"/>
      <c r="I120" s="81"/>
    </row>
    <row r="121" spans="7:9" ht="12.75">
      <c r="G121" s="34"/>
      <c r="H121" s="53"/>
      <c r="I121" s="81"/>
    </row>
    <row r="122" spans="7:9" ht="12.75">
      <c r="G122" s="34"/>
      <c r="H122" s="53"/>
      <c r="I122" s="81"/>
    </row>
    <row r="123" spans="7:9" ht="12.75">
      <c r="G123" s="34"/>
      <c r="H123" s="53"/>
      <c r="I123" s="81"/>
    </row>
    <row r="124" spans="7:9" ht="12.75">
      <c r="G124" s="34"/>
      <c r="H124" s="53"/>
      <c r="I124" s="81"/>
    </row>
    <row r="125" spans="7:9" ht="12.75">
      <c r="G125" s="34"/>
      <c r="H125" s="53"/>
      <c r="I125" s="81"/>
    </row>
    <row r="126" spans="7:9" ht="12.75">
      <c r="G126" s="34"/>
      <c r="H126" s="53"/>
      <c r="I126" s="81"/>
    </row>
    <row r="127" spans="7:9" ht="12.75">
      <c r="G127" s="34"/>
      <c r="H127" s="53"/>
      <c r="I127" s="81"/>
    </row>
    <row r="128" spans="7:9" ht="12.75">
      <c r="G128" s="34"/>
      <c r="H128" s="53"/>
      <c r="I128" s="81"/>
    </row>
    <row r="129" spans="7:9" ht="12.75">
      <c r="G129" s="34"/>
      <c r="H129" s="53"/>
      <c r="I129" s="81"/>
    </row>
    <row r="130" spans="7:9" ht="12.75">
      <c r="G130" s="34"/>
      <c r="H130" s="53"/>
      <c r="I130" s="81"/>
    </row>
    <row r="131" spans="7:9" ht="12.75">
      <c r="G131" s="34"/>
      <c r="H131" s="53"/>
      <c r="I131" s="81"/>
    </row>
    <row r="132" spans="7:9" ht="12.75">
      <c r="G132" s="34"/>
      <c r="H132" s="53"/>
      <c r="I132" s="81"/>
    </row>
    <row r="133" spans="7:9" ht="12.75">
      <c r="G133" s="34"/>
      <c r="H133" s="53"/>
      <c r="I133" s="81"/>
    </row>
    <row r="134" spans="7:9" ht="12.75">
      <c r="G134" s="34"/>
      <c r="H134" s="53"/>
      <c r="I134" s="81"/>
    </row>
    <row r="135" spans="7:9" ht="12.75">
      <c r="G135" s="34"/>
      <c r="H135" s="53"/>
      <c r="I135" s="81"/>
    </row>
    <row r="136" spans="7:9" ht="12.75">
      <c r="G136" s="34"/>
      <c r="H136" s="53"/>
      <c r="I136" s="81"/>
    </row>
    <row r="137" spans="7:9" ht="12.75">
      <c r="G137" s="34"/>
      <c r="H137" s="53"/>
      <c r="I137" s="81"/>
    </row>
    <row r="138" spans="7:9" ht="12.75">
      <c r="G138" s="34"/>
      <c r="H138" s="53"/>
      <c r="I138" s="81"/>
    </row>
    <row r="139" spans="7:9" ht="12.75">
      <c r="G139" s="34"/>
      <c r="H139" s="53"/>
      <c r="I139" s="81"/>
    </row>
    <row r="140" spans="7:9" ht="12.75">
      <c r="G140" s="34"/>
      <c r="H140" s="53"/>
      <c r="I140" s="81"/>
    </row>
    <row r="141" spans="7:9" ht="12.75">
      <c r="G141" s="34"/>
      <c r="H141" s="53"/>
      <c r="I141" s="81"/>
    </row>
    <row r="142" spans="7:9" ht="12.75">
      <c r="G142" s="34"/>
      <c r="H142" s="53"/>
      <c r="I142" s="81"/>
    </row>
    <row r="143" spans="7:9" ht="12.75">
      <c r="G143" s="34"/>
      <c r="H143" s="53"/>
      <c r="I143" s="81"/>
    </row>
    <row r="144" spans="7:9" ht="12.75">
      <c r="G144" s="34"/>
      <c r="H144" s="53"/>
      <c r="I144" s="81"/>
    </row>
    <row r="145" spans="7:9" ht="12.75">
      <c r="G145" s="34"/>
      <c r="H145" s="53"/>
      <c r="I145" s="81"/>
    </row>
    <row r="146" spans="7:9" ht="12.75">
      <c r="G146" s="34"/>
      <c r="H146" s="53"/>
      <c r="I146" s="81"/>
    </row>
    <row r="147" spans="7:9" ht="12.75">
      <c r="G147" s="34"/>
      <c r="H147" s="53"/>
      <c r="I147" s="81"/>
    </row>
    <row r="148" spans="7:9" ht="12.75">
      <c r="G148" s="34"/>
      <c r="H148" s="53"/>
      <c r="I148" s="81"/>
    </row>
    <row r="149" spans="7:9" ht="12.75">
      <c r="G149" s="34"/>
      <c r="H149" s="53"/>
      <c r="I149" s="81"/>
    </row>
    <row r="150" spans="7:9" ht="12.75">
      <c r="G150" s="34"/>
      <c r="H150" s="53"/>
      <c r="I150" s="81"/>
    </row>
    <row r="151" spans="7:9" ht="12.75">
      <c r="G151" s="34"/>
      <c r="H151" s="53"/>
      <c r="I151" s="81"/>
    </row>
    <row r="152" spans="7:9" ht="12.75">
      <c r="G152" s="34"/>
      <c r="H152" s="53"/>
      <c r="I152" s="81"/>
    </row>
    <row r="153" spans="7:9" ht="12.75">
      <c r="G153" s="34"/>
      <c r="H153" s="53"/>
      <c r="I153" s="81"/>
    </row>
    <row r="154" spans="7:9" ht="12.75">
      <c r="G154" s="34"/>
      <c r="H154" s="53"/>
      <c r="I154" s="81"/>
    </row>
    <row r="155" spans="7:9" ht="12.75">
      <c r="G155" s="34"/>
      <c r="H155" s="53"/>
      <c r="I155" s="81"/>
    </row>
    <row r="156" spans="7:9" ht="12.75">
      <c r="G156" s="34"/>
      <c r="H156" s="53"/>
      <c r="I156" s="81"/>
    </row>
    <row r="157" spans="7:9" ht="12.75">
      <c r="G157" s="34"/>
      <c r="H157" s="53"/>
      <c r="I157" s="81"/>
    </row>
    <row r="158" spans="7:9" ht="12.75">
      <c r="G158" s="34"/>
      <c r="H158" s="53"/>
      <c r="I158" s="81"/>
    </row>
    <row r="159" spans="7:9" ht="12.75">
      <c r="G159" s="34"/>
      <c r="H159" s="53"/>
      <c r="I159" s="81"/>
    </row>
    <row r="160" spans="7:9" ht="12.75">
      <c r="G160" s="34"/>
      <c r="H160" s="53"/>
      <c r="I160" s="81"/>
    </row>
    <row r="161" spans="7:9" ht="12.75">
      <c r="G161" s="34"/>
      <c r="H161" s="53"/>
      <c r="I161" s="81"/>
    </row>
    <row r="162" spans="7:9" ht="12.75">
      <c r="G162" s="34"/>
      <c r="H162" s="53"/>
      <c r="I162" s="81"/>
    </row>
    <row r="163" spans="7:9" ht="12.75">
      <c r="G163" s="34"/>
      <c r="H163" s="53"/>
      <c r="I163" s="81"/>
    </row>
    <row r="164" spans="7:9" ht="12.75">
      <c r="G164" s="34"/>
      <c r="H164" s="53"/>
      <c r="I164" s="81"/>
    </row>
    <row r="165" spans="7:9" ht="12.75">
      <c r="G165" s="34"/>
      <c r="H165" s="53"/>
      <c r="I165" s="81"/>
    </row>
    <row r="166" spans="7:9" ht="12.75">
      <c r="G166" s="34"/>
      <c r="H166" s="53"/>
      <c r="I166" s="81"/>
    </row>
    <row r="167" spans="7:9" ht="12.75">
      <c r="G167" s="34"/>
      <c r="H167" s="53"/>
      <c r="I167" s="81"/>
    </row>
    <row r="168" spans="7:9" ht="12.75">
      <c r="G168" s="34"/>
      <c r="H168" s="53"/>
      <c r="I168" s="81"/>
    </row>
    <row r="169" spans="7:9" ht="12.75">
      <c r="G169" s="34"/>
      <c r="H169" s="53"/>
      <c r="I169" s="81"/>
    </row>
    <row r="170" spans="7:9" ht="12.75">
      <c r="G170" s="34"/>
      <c r="H170" s="53"/>
      <c r="I170" s="81"/>
    </row>
    <row r="171" spans="7:9" ht="12.75">
      <c r="G171" s="34"/>
      <c r="H171" s="53"/>
      <c r="I171" s="81"/>
    </row>
    <row r="172" spans="7:9" ht="12.75">
      <c r="G172" s="34"/>
      <c r="H172" s="53"/>
      <c r="I172" s="81"/>
    </row>
    <row r="173" spans="7:9" ht="12.75">
      <c r="G173" s="34"/>
      <c r="H173" s="53"/>
      <c r="I173" s="81"/>
    </row>
    <row r="174" spans="7:9" ht="12.75">
      <c r="G174" s="34"/>
      <c r="H174" s="53"/>
      <c r="I174" s="81"/>
    </row>
    <row r="175" spans="7:9" ht="12.75">
      <c r="G175" s="34"/>
      <c r="H175" s="53"/>
      <c r="I175" s="81"/>
    </row>
    <row r="176" spans="7:9" ht="12.75">
      <c r="G176" s="34"/>
      <c r="H176" s="53"/>
      <c r="I176" s="81"/>
    </row>
    <row r="177" spans="7:9" ht="12.75">
      <c r="G177" s="34"/>
      <c r="H177" s="53"/>
      <c r="I177" s="81"/>
    </row>
    <row r="178" spans="7:9" ht="12.75">
      <c r="G178" s="34"/>
      <c r="H178" s="53"/>
      <c r="I178" s="81"/>
    </row>
    <row r="179" spans="7:9" ht="12.75">
      <c r="G179" s="34"/>
      <c r="H179" s="53"/>
      <c r="I179" s="81"/>
    </row>
    <row r="180" spans="7:9" ht="12.75">
      <c r="G180" s="34"/>
      <c r="H180" s="53"/>
      <c r="I180" s="81"/>
    </row>
    <row r="181" spans="7:9" ht="12.75">
      <c r="G181" s="34"/>
      <c r="H181" s="53"/>
      <c r="I181" s="81"/>
    </row>
    <row r="182" spans="7:9" ht="12.75">
      <c r="G182" s="34"/>
      <c r="H182" s="53"/>
      <c r="I182" s="81"/>
    </row>
    <row r="183" spans="7:9" ht="12.75">
      <c r="G183" s="34"/>
      <c r="H183" s="53"/>
      <c r="I183" s="81"/>
    </row>
    <row r="184" spans="7:9" ht="12.75">
      <c r="G184" s="34"/>
      <c r="H184" s="53"/>
      <c r="I184" s="81"/>
    </row>
    <row r="185" spans="7:9" ht="12.75">
      <c r="G185" s="34"/>
      <c r="H185" s="53"/>
      <c r="I185" s="81"/>
    </row>
    <row r="186" spans="7:9" ht="12.75">
      <c r="G186" s="34"/>
      <c r="H186" s="53"/>
      <c r="I186" s="81"/>
    </row>
    <row r="187" spans="7:9" ht="12.75">
      <c r="G187" s="34"/>
      <c r="H187" s="53"/>
      <c r="I187" s="81"/>
    </row>
    <row r="188" spans="7:9" ht="12.75">
      <c r="G188" s="34"/>
      <c r="H188" s="53"/>
      <c r="I188" s="81"/>
    </row>
    <row r="189" spans="7:9" ht="12.75">
      <c r="G189" s="34"/>
      <c r="H189" s="53"/>
      <c r="I189" s="81"/>
    </row>
    <row r="190" spans="7:9" ht="12.75">
      <c r="G190" s="34"/>
      <c r="H190" s="53"/>
      <c r="I190" s="81"/>
    </row>
    <row r="191" spans="7:9" ht="12.75">
      <c r="G191" s="34"/>
      <c r="H191" s="53"/>
      <c r="I191" s="81"/>
    </row>
    <row r="192" spans="7:9" ht="12.75">
      <c r="G192" s="34"/>
      <c r="H192" s="53"/>
      <c r="I192" s="81"/>
    </row>
    <row r="193" spans="7:9" ht="12.75">
      <c r="G193" s="34"/>
      <c r="H193" s="53"/>
      <c r="I193" s="81"/>
    </row>
    <row r="194" spans="7:9" ht="12.75">
      <c r="G194" s="34"/>
      <c r="H194" s="53"/>
      <c r="I194" s="81"/>
    </row>
    <row r="195" spans="7:9" ht="12.75">
      <c r="G195" s="34"/>
      <c r="H195" s="53"/>
      <c r="I195" s="81"/>
    </row>
    <row r="196" spans="7:9" ht="12.75">
      <c r="G196" s="34"/>
      <c r="H196" s="53"/>
      <c r="I196" s="81"/>
    </row>
    <row r="197" spans="7:9" ht="12.75">
      <c r="G197" s="34"/>
      <c r="H197" s="53"/>
      <c r="I197" s="81"/>
    </row>
    <row r="198" spans="7:9" ht="12.75">
      <c r="G198" s="34"/>
      <c r="H198" s="53"/>
      <c r="I198" s="81"/>
    </row>
    <row r="199" spans="7:9" ht="12.75">
      <c r="G199" s="34"/>
      <c r="H199" s="53"/>
      <c r="I199" s="81"/>
    </row>
    <row r="200" spans="7:9" ht="12.75">
      <c r="G200" s="34"/>
      <c r="H200" s="53"/>
      <c r="I200" s="81"/>
    </row>
    <row r="201" spans="7:9" ht="12.75">
      <c r="G201" s="34"/>
      <c r="H201" s="53"/>
      <c r="I201" s="81"/>
    </row>
    <row r="202" spans="7:9" ht="12.75">
      <c r="G202" s="34"/>
      <c r="H202" s="53"/>
      <c r="I202" s="81"/>
    </row>
    <row r="203" spans="7:9" ht="12.75">
      <c r="G203" s="34"/>
      <c r="H203" s="53"/>
      <c r="I203" s="81"/>
    </row>
    <row r="204" spans="7:9" ht="12.75">
      <c r="G204" s="34"/>
      <c r="H204" s="53"/>
      <c r="I204" s="81"/>
    </row>
    <row r="205" spans="7:9" ht="12.75">
      <c r="G205" s="34"/>
      <c r="H205" s="53"/>
      <c r="I205" s="81"/>
    </row>
    <row r="206" spans="7:9" ht="12.75">
      <c r="G206" s="34"/>
      <c r="H206" s="53"/>
      <c r="I206" s="81"/>
    </row>
    <row r="207" spans="7:9" ht="12.75">
      <c r="G207" s="34"/>
      <c r="H207" s="53"/>
      <c r="I207" s="81"/>
    </row>
    <row r="208" spans="7:9" ht="12.75">
      <c r="G208" s="34"/>
      <c r="H208" s="53"/>
      <c r="I208" s="81"/>
    </row>
    <row r="209" spans="7:9" ht="12.75">
      <c r="G209" s="34"/>
      <c r="H209" s="53"/>
      <c r="I209" s="81"/>
    </row>
    <row r="210" spans="7:9" ht="12.75">
      <c r="G210" s="34"/>
      <c r="H210" s="53"/>
      <c r="I210" s="81"/>
    </row>
    <row r="211" spans="7:9" ht="12.75">
      <c r="G211" s="34"/>
      <c r="H211" s="53"/>
      <c r="I211" s="81"/>
    </row>
    <row r="212" spans="7:9" ht="12.75">
      <c r="G212" s="34"/>
      <c r="H212" s="53"/>
      <c r="I212" s="81"/>
    </row>
    <row r="213" spans="7:9" ht="12.75">
      <c r="G213" s="34"/>
      <c r="H213" s="53"/>
      <c r="I213" s="81"/>
    </row>
    <row r="214" spans="7:9" ht="12.75">
      <c r="G214" s="34"/>
      <c r="H214" s="53"/>
      <c r="I214" s="81"/>
    </row>
    <row r="215" spans="7:9" ht="12.75">
      <c r="G215" s="34"/>
      <c r="H215" s="53"/>
      <c r="I215" s="81"/>
    </row>
    <row r="216" spans="7:9" ht="12.75">
      <c r="G216" s="34"/>
      <c r="H216" s="53"/>
      <c r="I216" s="81"/>
    </row>
    <row r="217" spans="7:9" ht="12.75">
      <c r="G217" s="34"/>
      <c r="H217" s="53"/>
      <c r="I217" s="81"/>
    </row>
    <row r="218" spans="7:9" ht="12.75">
      <c r="G218" s="34"/>
      <c r="H218" s="53"/>
      <c r="I218" s="81"/>
    </row>
    <row r="219" spans="7:9" ht="12.75">
      <c r="G219" s="34"/>
      <c r="H219" s="53"/>
      <c r="I219" s="81"/>
    </row>
    <row r="220" spans="7:9" ht="12.75">
      <c r="G220" s="34"/>
      <c r="H220" s="53"/>
      <c r="I220" s="81"/>
    </row>
    <row r="221" spans="7:9" ht="12.75">
      <c r="G221" s="34"/>
      <c r="H221" s="53"/>
      <c r="I221" s="81"/>
    </row>
    <row r="222" spans="7:9" ht="12.75">
      <c r="G222" s="34"/>
      <c r="H222" s="53"/>
      <c r="I222" s="81"/>
    </row>
    <row r="223" spans="7:9" ht="12.75">
      <c r="G223" s="34"/>
      <c r="H223" s="53"/>
      <c r="I223" s="81"/>
    </row>
    <row r="224" spans="7:9" ht="12.75">
      <c r="G224" s="34"/>
      <c r="H224" s="53"/>
      <c r="I224" s="81"/>
    </row>
    <row r="225" spans="7:9" ht="12.75">
      <c r="G225" s="34"/>
      <c r="H225" s="53"/>
      <c r="I225" s="81"/>
    </row>
    <row r="226" spans="7:9" ht="12.75">
      <c r="G226" s="34"/>
      <c r="H226" s="53"/>
      <c r="I226" s="81"/>
    </row>
    <row r="227" spans="7:9" ht="12.75">
      <c r="G227" s="34"/>
      <c r="H227" s="53"/>
      <c r="I227" s="81"/>
    </row>
    <row r="228" spans="7:9" ht="12.75">
      <c r="G228" s="34"/>
      <c r="H228" s="53"/>
      <c r="I228" s="81"/>
    </row>
    <row r="229" spans="7:9" ht="12.75">
      <c r="G229" s="34"/>
      <c r="H229" s="53"/>
      <c r="I229" s="81"/>
    </row>
    <row r="230" spans="7:9" ht="12.75">
      <c r="G230" s="34"/>
      <c r="H230" s="53"/>
      <c r="I230" s="81"/>
    </row>
    <row r="231" spans="7:9" ht="12.75">
      <c r="G231" s="34"/>
      <c r="H231" s="53"/>
      <c r="I231" s="81"/>
    </row>
    <row r="232" spans="7:9" ht="12.75">
      <c r="G232" s="34"/>
      <c r="H232" s="53"/>
      <c r="I232" s="81"/>
    </row>
    <row r="233" spans="7:9" ht="12.75">
      <c r="G233" s="34"/>
      <c r="H233" s="53"/>
      <c r="I233" s="81"/>
    </row>
    <row r="234" spans="7:9" ht="12.75">
      <c r="G234" s="34"/>
      <c r="H234" s="53"/>
      <c r="I234" s="81"/>
    </row>
    <row r="235" spans="7:9" ht="12.75">
      <c r="G235" s="34"/>
      <c r="H235" s="53"/>
      <c r="I235" s="81"/>
    </row>
    <row r="236" spans="7:9" ht="12.75">
      <c r="G236" s="34"/>
      <c r="H236" s="53"/>
      <c r="I236" s="81"/>
    </row>
    <row r="237" spans="7:9" ht="12.75">
      <c r="G237" s="34"/>
      <c r="H237" s="53"/>
      <c r="I237" s="81"/>
    </row>
    <row r="238" spans="7:9" ht="12.75">
      <c r="G238" s="34"/>
      <c r="H238" s="53"/>
      <c r="I238" s="81"/>
    </row>
    <row r="239" spans="7:9" ht="12.75">
      <c r="G239" s="34"/>
      <c r="H239" s="53"/>
      <c r="I239" s="81"/>
    </row>
    <row r="240" spans="7:9" ht="12.75">
      <c r="G240" s="34"/>
      <c r="H240" s="53"/>
      <c r="I240" s="81"/>
    </row>
    <row r="241" spans="7:9" ht="12.75">
      <c r="G241" s="34"/>
      <c r="H241" s="53"/>
      <c r="I241" s="81"/>
    </row>
    <row r="242" spans="7:9" ht="12.75">
      <c r="G242" s="34"/>
      <c r="H242" s="53"/>
      <c r="I242" s="81"/>
    </row>
    <row r="243" spans="7:9" ht="12.75">
      <c r="G243" s="34"/>
      <c r="H243" s="53"/>
      <c r="I243" s="81"/>
    </row>
    <row r="244" spans="7:9" ht="12.75">
      <c r="G244" s="34"/>
      <c r="H244" s="53"/>
      <c r="I244" s="81"/>
    </row>
    <row r="245" spans="7:9" ht="12.75">
      <c r="G245" s="34"/>
      <c r="H245" s="53"/>
      <c r="I245" s="81"/>
    </row>
    <row r="246" spans="7:9" ht="12.75">
      <c r="G246" s="34"/>
      <c r="H246" s="53"/>
      <c r="I246" s="81"/>
    </row>
    <row r="247" spans="7:9" ht="12.75">
      <c r="G247" s="34"/>
      <c r="H247" s="53"/>
      <c r="I247" s="81"/>
    </row>
    <row r="248" spans="7:9" ht="12.75">
      <c r="G248" s="34"/>
      <c r="H248" s="53"/>
      <c r="I248" s="81"/>
    </row>
    <row r="249" spans="7:9" ht="12.75">
      <c r="G249" s="34"/>
      <c r="H249" s="53"/>
      <c r="I249" s="81"/>
    </row>
    <row r="250" spans="7:9" ht="12.75">
      <c r="G250" s="34"/>
      <c r="H250" s="53"/>
      <c r="I250" s="81"/>
    </row>
    <row r="251" spans="7:9" ht="12.75">
      <c r="G251" s="34"/>
      <c r="H251" s="53"/>
      <c r="I251" s="81"/>
    </row>
    <row r="252" spans="7:9" ht="12.75">
      <c r="G252" s="34"/>
      <c r="H252" s="53"/>
      <c r="I252" s="81"/>
    </row>
    <row r="253" spans="7:9" ht="12.75">
      <c r="G253" s="34"/>
      <c r="H253" s="53"/>
      <c r="I253" s="81"/>
    </row>
    <row r="254" spans="7:9" ht="12.75">
      <c r="G254" s="34"/>
      <c r="H254" s="53"/>
      <c r="I254" s="81"/>
    </row>
    <row r="255" spans="7:9" ht="12.75">
      <c r="G255" s="34"/>
      <c r="H255" s="53"/>
      <c r="I255" s="81"/>
    </row>
    <row r="256" spans="7:9" ht="12.75">
      <c r="G256" s="34"/>
      <c r="H256" s="53"/>
      <c r="I256" s="81"/>
    </row>
    <row r="257" spans="7:9" ht="12.75">
      <c r="G257" s="34"/>
      <c r="H257" s="53"/>
      <c r="I257" s="81"/>
    </row>
    <row r="258" spans="7:9" ht="12.75">
      <c r="G258" s="34"/>
      <c r="H258" s="53"/>
      <c r="I258" s="81"/>
    </row>
    <row r="259" spans="7:9" ht="12.75">
      <c r="G259" s="34"/>
      <c r="H259" s="53"/>
      <c r="I259" s="81"/>
    </row>
    <row r="260" spans="7:9" ht="12.75">
      <c r="G260" s="34"/>
      <c r="H260" s="53"/>
      <c r="I260" s="81"/>
    </row>
    <row r="261" spans="7:9" ht="12.75">
      <c r="G261" s="34"/>
      <c r="H261" s="53"/>
      <c r="I261" s="81"/>
    </row>
    <row r="262" spans="7:9" ht="12.75">
      <c r="G262" s="34"/>
      <c r="H262" s="53"/>
      <c r="I262" s="81"/>
    </row>
    <row r="263" spans="7:9" ht="12.75">
      <c r="G263" s="34"/>
      <c r="H263" s="53"/>
      <c r="I263" s="81"/>
    </row>
    <row r="264" spans="7:9" ht="12.75">
      <c r="G264" s="34"/>
      <c r="H264" s="53"/>
      <c r="I264" s="81"/>
    </row>
    <row r="265" spans="7:9" ht="12.75">
      <c r="G265" s="34"/>
      <c r="H265" s="53"/>
      <c r="I265" s="81"/>
    </row>
    <row r="266" spans="7:9" ht="12.75">
      <c r="G266" s="34"/>
      <c r="H266" s="53"/>
      <c r="I266" s="81"/>
    </row>
    <row r="267" spans="7:9" ht="12.75">
      <c r="G267" s="34"/>
      <c r="H267" s="53"/>
      <c r="I267" s="81"/>
    </row>
    <row r="268" spans="7:9" ht="12.75">
      <c r="G268" s="34"/>
      <c r="H268" s="53"/>
      <c r="I268" s="81"/>
    </row>
    <row r="269" spans="7:9" ht="12.75">
      <c r="G269" s="34"/>
      <c r="H269" s="53"/>
      <c r="I269" s="81"/>
    </row>
    <row r="270" spans="7:9" ht="12.75">
      <c r="G270" s="34"/>
      <c r="H270" s="53"/>
      <c r="I270" s="81"/>
    </row>
    <row r="271" spans="7:9" ht="12.75">
      <c r="G271" s="34"/>
      <c r="H271" s="53"/>
      <c r="I271" s="81"/>
    </row>
    <row r="272" spans="7:9" ht="12.75">
      <c r="G272" s="34"/>
      <c r="H272" s="53"/>
      <c r="I272" s="81"/>
    </row>
    <row r="273" spans="7:9" ht="12.75">
      <c r="G273" s="34"/>
      <c r="H273" s="53"/>
      <c r="I273" s="81"/>
    </row>
    <row r="274" spans="7:9" ht="12.75">
      <c r="G274" s="34"/>
      <c r="H274" s="53"/>
      <c r="I274" s="81"/>
    </row>
    <row r="275" spans="7:9" ht="12.75">
      <c r="G275" s="34"/>
      <c r="H275" s="53"/>
      <c r="I275" s="81"/>
    </row>
    <row r="276" spans="7:9" ht="12.75">
      <c r="G276" s="34"/>
      <c r="H276" s="53"/>
      <c r="I276" s="81"/>
    </row>
    <row r="277" spans="7:9" ht="12.75">
      <c r="G277" s="34"/>
      <c r="H277" s="53"/>
      <c r="I277" s="81"/>
    </row>
    <row r="278" spans="7:9" ht="12.75">
      <c r="G278" s="34"/>
      <c r="H278" s="53"/>
      <c r="I278" s="81"/>
    </row>
    <row r="279" spans="7:9" ht="12.75">
      <c r="G279" s="34"/>
      <c r="H279" s="53"/>
      <c r="I279" s="81"/>
    </row>
    <row r="280" spans="7:9" ht="12.75">
      <c r="G280" s="34"/>
      <c r="H280" s="53"/>
      <c r="I280" s="81"/>
    </row>
    <row r="281" spans="7:9" ht="12.75">
      <c r="G281" s="34"/>
      <c r="H281" s="53"/>
      <c r="I281" s="81"/>
    </row>
    <row r="282" spans="7:9" ht="12.75">
      <c r="G282" s="34"/>
      <c r="H282" s="53"/>
      <c r="I282" s="81"/>
    </row>
    <row r="283" spans="7:9" ht="12.75">
      <c r="G283" s="34"/>
      <c r="H283" s="53"/>
      <c r="I283" s="81"/>
    </row>
    <row r="284" spans="7:9" ht="12.75">
      <c r="G284" s="34"/>
      <c r="H284" s="53"/>
      <c r="I284" s="81"/>
    </row>
    <row r="285" spans="7:9" ht="12.75">
      <c r="G285" s="34"/>
      <c r="H285" s="53"/>
      <c r="I285" s="81"/>
    </row>
    <row r="286" spans="7:9" ht="12.75">
      <c r="G286" s="34"/>
      <c r="H286" s="53"/>
      <c r="I286" s="81"/>
    </row>
    <row r="287" spans="7:9" ht="12.75">
      <c r="G287" s="34"/>
      <c r="H287" s="53"/>
      <c r="I287" s="81"/>
    </row>
    <row r="288" spans="7:9" ht="12.75">
      <c r="G288" s="34"/>
      <c r="H288" s="53"/>
      <c r="I288" s="81"/>
    </row>
    <row r="289" spans="7:9" ht="12.75">
      <c r="G289" s="34"/>
      <c r="H289" s="53"/>
      <c r="I289" s="81"/>
    </row>
    <row r="290" spans="7:9" ht="12.75">
      <c r="G290" s="34"/>
      <c r="H290" s="53"/>
      <c r="I290" s="81"/>
    </row>
    <row r="291" spans="7:9" ht="12.75">
      <c r="G291" s="34"/>
      <c r="H291" s="53"/>
      <c r="I291" s="81"/>
    </row>
    <row r="292" spans="7:9" ht="12.75">
      <c r="G292" s="34"/>
      <c r="H292" s="53"/>
      <c r="I292" s="81"/>
    </row>
    <row r="293" spans="7:9" ht="12.75">
      <c r="G293" s="34"/>
      <c r="H293" s="53"/>
      <c r="I293" s="81"/>
    </row>
    <row r="294" spans="7:9" ht="12.75">
      <c r="G294" s="34"/>
      <c r="H294" s="53"/>
      <c r="I294" s="81"/>
    </row>
    <row r="295" spans="7:9" ht="12.75">
      <c r="G295" s="34"/>
      <c r="H295" s="53"/>
      <c r="I295" s="81"/>
    </row>
    <row r="296" spans="7:9" ht="12.75">
      <c r="G296" s="34"/>
      <c r="H296" s="53"/>
      <c r="I296" s="81"/>
    </row>
    <row r="297" spans="7:9" ht="12.75">
      <c r="G297" s="34"/>
      <c r="H297" s="53"/>
      <c r="I297" s="81"/>
    </row>
    <row r="298" spans="7:9" ht="12.75">
      <c r="G298" s="34"/>
      <c r="H298" s="53"/>
      <c r="I298" s="81"/>
    </row>
    <row r="299" spans="7:9" ht="12.75">
      <c r="G299" s="34"/>
      <c r="H299" s="53"/>
      <c r="I299" s="81"/>
    </row>
    <row r="300" spans="7:9" ht="12.75">
      <c r="G300" s="34"/>
      <c r="H300" s="53"/>
      <c r="I300" s="81"/>
    </row>
    <row r="301" spans="7:9" ht="12.75">
      <c r="G301" s="34"/>
      <c r="H301" s="53"/>
      <c r="I301" s="81"/>
    </row>
    <row r="302" spans="7:9" ht="12.75">
      <c r="G302" s="34"/>
      <c r="H302" s="53"/>
      <c r="I302" s="81"/>
    </row>
    <row r="303" spans="7:9" ht="12.75">
      <c r="G303" s="34"/>
      <c r="H303" s="53"/>
      <c r="I303" s="81"/>
    </row>
    <row r="304" spans="7:9" ht="12.75">
      <c r="G304" s="34"/>
      <c r="H304" s="53"/>
      <c r="I304" s="81"/>
    </row>
    <row r="305" spans="7:9" ht="12.75">
      <c r="G305" s="34"/>
      <c r="H305" s="53"/>
      <c r="I305" s="81"/>
    </row>
    <row r="306" spans="7:9" ht="12.75">
      <c r="G306" s="34"/>
      <c r="H306" s="53"/>
      <c r="I306" s="81"/>
    </row>
    <row r="307" spans="7:9" ht="12.75">
      <c r="G307" s="34"/>
      <c r="H307" s="53"/>
      <c r="I307" s="81"/>
    </row>
    <row r="308" spans="7:9" ht="12.75">
      <c r="G308" s="34"/>
      <c r="H308" s="53"/>
      <c r="I308" s="81"/>
    </row>
    <row r="309" spans="7:9" ht="12.75">
      <c r="G309" s="34"/>
      <c r="H309" s="53"/>
      <c r="I309" s="81"/>
    </row>
    <row r="310" spans="7:9" ht="12.75">
      <c r="G310" s="34"/>
      <c r="H310" s="53"/>
      <c r="I310" s="81"/>
    </row>
    <row r="311" spans="7:9" ht="12.75">
      <c r="G311" s="34"/>
      <c r="H311" s="53"/>
      <c r="I311" s="81"/>
    </row>
    <row r="312" spans="7:9" ht="12.75">
      <c r="G312" s="34"/>
      <c r="H312" s="53"/>
      <c r="I312" s="81"/>
    </row>
    <row r="313" spans="7:9" ht="12.75">
      <c r="G313" s="34"/>
      <c r="H313" s="53"/>
      <c r="I313" s="81"/>
    </row>
    <row r="314" spans="7:9" ht="12.75">
      <c r="G314" s="34"/>
      <c r="H314" s="53"/>
      <c r="I314" s="81"/>
    </row>
    <row r="315" spans="7:9" ht="12.75">
      <c r="G315" s="34"/>
      <c r="H315" s="53"/>
      <c r="I315" s="81"/>
    </row>
    <row r="316" spans="7:9" ht="12.75">
      <c r="G316" s="34"/>
      <c r="H316" s="53"/>
      <c r="I316" s="81"/>
    </row>
    <row r="317" spans="7:9" ht="12.75">
      <c r="G317" s="34"/>
      <c r="H317" s="53"/>
      <c r="I317" s="81"/>
    </row>
    <row r="318" spans="7:9" ht="12.75">
      <c r="G318" s="34"/>
      <c r="H318" s="53"/>
      <c r="I318" s="81"/>
    </row>
    <row r="319" spans="7:9" ht="12.75">
      <c r="G319" s="34"/>
      <c r="H319" s="53"/>
      <c r="I319" s="81"/>
    </row>
    <row r="320" spans="7:9" ht="12.75">
      <c r="G320" s="34"/>
      <c r="H320" s="53"/>
      <c r="I320" s="81"/>
    </row>
    <row r="321" spans="7:9" ht="12.75">
      <c r="G321" s="34"/>
      <c r="H321" s="53"/>
      <c r="I321" s="81"/>
    </row>
    <row r="322" spans="7:9" ht="12.75">
      <c r="G322" s="34"/>
      <c r="H322" s="53"/>
      <c r="I322" s="81"/>
    </row>
    <row r="323" spans="7:9" ht="12.75">
      <c r="G323" s="34"/>
      <c r="H323" s="53"/>
      <c r="I323" s="81"/>
    </row>
    <row r="324" spans="7:9" ht="12.75">
      <c r="G324" s="34"/>
      <c r="H324" s="53"/>
      <c r="I324" s="81"/>
    </row>
    <row r="325" spans="7:9" ht="12.75">
      <c r="G325" s="34"/>
      <c r="H325" s="53"/>
      <c r="I325" s="81"/>
    </row>
    <row r="326" spans="7:9" ht="12.75">
      <c r="G326" s="34"/>
      <c r="H326" s="53"/>
      <c r="I326" s="81"/>
    </row>
    <row r="327" spans="7:9" ht="12.75">
      <c r="G327" s="34"/>
      <c r="H327" s="53"/>
      <c r="I327" s="81"/>
    </row>
    <row r="328" spans="7:9" ht="12.75">
      <c r="G328" s="34"/>
      <c r="H328" s="53"/>
      <c r="I328" s="81"/>
    </row>
    <row r="329" spans="7:9" ht="12.75">
      <c r="G329" s="34"/>
      <c r="H329" s="53"/>
      <c r="I329" s="81"/>
    </row>
    <row r="330" spans="7:9" ht="12.75">
      <c r="G330" s="34"/>
      <c r="H330" s="53"/>
      <c r="I330" s="81"/>
    </row>
    <row r="331" spans="7:9" ht="12.75">
      <c r="G331" s="34"/>
      <c r="H331" s="53"/>
      <c r="I331" s="81"/>
    </row>
    <row r="332" spans="7:9" ht="12.75">
      <c r="G332" s="34"/>
      <c r="H332" s="53"/>
      <c r="I332" s="81"/>
    </row>
    <row r="333" spans="7:9" ht="12.75">
      <c r="G333" s="34"/>
      <c r="H333" s="53"/>
      <c r="I333" s="81"/>
    </row>
    <row r="334" spans="7:9" ht="12.75">
      <c r="G334" s="34"/>
      <c r="H334" s="53"/>
      <c r="I334" s="81"/>
    </row>
    <row r="335" spans="7:9" ht="12.75">
      <c r="G335" s="34"/>
      <c r="H335" s="53"/>
      <c r="I335" s="81"/>
    </row>
    <row r="336" spans="7:9" ht="12.75">
      <c r="G336" s="34"/>
      <c r="H336" s="53"/>
      <c r="I336" s="81"/>
    </row>
    <row r="337" spans="7:9" ht="12.75">
      <c r="G337" s="34"/>
      <c r="H337" s="53"/>
      <c r="I337" s="81"/>
    </row>
    <row r="338" spans="7:9" ht="12.75">
      <c r="G338" s="34"/>
      <c r="H338" s="53"/>
      <c r="I338" s="81"/>
    </row>
    <row r="339" spans="7:9" ht="12.75">
      <c r="G339" s="34"/>
      <c r="H339" s="53"/>
      <c r="I339" s="81"/>
    </row>
    <row r="340" spans="7:9" ht="12.75">
      <c r="G340" s="34"/>
      <c r="H340" s="53"/>
      <c r="I340" s="81"/>
    </row>
    <row r="341" spans="7:9" ht="12.75">
      <c r="G341" s="34"/>
      <c r="H341" s="53"/>
      <c r="I341" s="81"/>
    </row>
    <row r="342" spans="7:9" ht="12.75">
      <c r="G342" s="34"/>
      <c r="H342" s="53"/>
      <c r="I342" s="81"/>
    </row>
    <row r="343" spans="7:9" ht="12.75">
      <c r="G343" s="34"/>
      <c r="H343" s="53"/>
      <c r="I343" s="81"/>
    </row>
    <row r="344" spans="7:9" ht="12.75">
      <c r="G344" s="34"/>
      <c r="H344" s="53"/>
      <c r="I344" s="81"/>
    </row>
    <row r="345" spans="7:9" ht="12.75">
      <c r="G345" s="34"/>
      <c r="H345" s="53"/>
      <c r="I345" s="81"/>
    </row>
    <row r="346" spans="7:9" ht="12.75">
      <c r="G346" s="34"/>
      <c r="H346" s="53"/>
      <c r="I346" s="81"/>
    </row>
    <row r="347" spans="7:9" ht="12.75">
      <c r="G347" s="34"/>
      <c r="H347" s="53"/>
      <c r="I347" s="81"/>
    </row>
    <row r="348" spans="7:9" ht="12.75">
      <c r="G348" s="34"/>
      <c r="H348" s="53"/>
      <c r="I348" s="81"/>
    </row>
    <row r="349" spans="7:9" ht="12.75">
      <c r="G349" s="34"/>
      <c r="H349" s="53"/>
      <c r="I349" s="81"/>
    </row>
    <row r="350" spans="7:9" ht="12.75">
      <c r="G350" s="34"/>
      <c r="H350" s="53"/>
      <c r="I350" s="81"/>
    </row>
    <row r="351" spans="7:9" ht="12.75">
      <c r="G351" s="34"/>
      <c r="H351" s="53"/>
      <c r="I351" s="81"/>
    </row>
    <row r="352" spans="7:9" ht="12.75">
      <c r="G352" s="34"/>
      <c r="H352" s="53"/>
      <c r="I352" s="81"/>
    </row>
    <row r="353" spans="7:9" ht="12.75">
      <c r="G353" s="34"/>
      <c r="H353" s="53"/>
      <c r="I353" s="81"/>
    </row>
    <row r="354" spans="7:9" ht="12.75">
      <c r="G354" s="34"/>
      <c r="H354" s="53"/>
      <c r="I354" s="81"/>
    </row>
    <row r="355" spans="7:9" ht="12.75">
      <c r="G355" s="34"/>
      <c r="H355" s="53"/>
      <c r="I355" s="81"/>
    </row>
    <row r="356" spans="7:9" ht="12.75">
      <c r="G356" s="34"/>
      <c r="H356" s="53"/>
      <c r="I356" s="81"/>
    </row>
    <row r="357" spans="7:9" ht="12.75">
      <c r="G357" s="34"/>
      <c r="H357" s="53"/>
      <c r="I357" s="81"/>
    </row>
    <row r="358" spans="7:9" ht="12.75">
      <c r="G358" s="34"/>
      <c r="H358" s="53"/>
      <c r="I358" s="81"/>
    </row>
    <row r="359" spans="7:9" ht="12.75">
      <c r="G359" s="34"/>
      <c r="H359" s="53"/>
      <c r="I359" s="81"/>
    </row>
    <row r="360" spans="7:9" ht="12.75">
      <c r="G360" s="34"/>
      <c r="H360" s="53"/>
      <c r="I360" s="81"/>
    </row>
    <row r="361" spans="7:9" ht="12.75">
      <c r="G361" s="34"/>
      <c r="H361" s="53"/>
      <c r="I361" s="81"/>
    </row>
    <row r="362" spans="7:9" ht="12.75">
      <c r="G362" s="34"/>
      <c r="H362" s="53"/>
      <c r="I362" s="81"/>
    </row>
    <row r="363" spans="7:9" ht="12.75">
      <c r="G363" s="34"/>
      <c r="H363" s="53"/>
      <c r="I363" s="81"/>
    </row>
    <row r="364" spans="7:9" ht="12.75">
      <c r="G364" s="34"/>
      <c r="H364" s="53"/>
      <c r="I364" s="81"/>
    </row>
    <row r="365" spans="7:9" ht="12.75">
      <c r="G365" s="34"/>
      <c r="H365" s="53"/>
      <c r="I365" s="81"/>
    </row>
    <row r="366" spans="7:9" ht="12.75">
      <c r="G366" s="34"/>
      <c r="H366" s="53"/>
      <c r="I366" s="81"/>
    </row>
    <row r="367" spans="7:9" ht="12.75">
      <c r="G367" s="34"/>
      <c r="H367" s="53"/>
      <c r="I367" s="81"/>
    </row>
    <row r="368" spans="7:9" ht="12.75">
      <c r="G368" s="34"/>
      <c r="H368" s="53"/>
      <c r="I368" s="81"/>
    </row>
    <row r="369" spans="7:9" ht="12.75">
      <c r="G369" s="34"/>
      <c r="H369" s="53"/>
      <c r="I369" s="81"/>
    </row>
    <row r="370" spans="7:9" ht="12.75">
      <c r="G370" s="34"/>
      <c r="H370" s="53"/>
      <c r="I370" s="81"/>
    </row>
    <row r="371" spans="7:9" ht="12.75">
      <c r="G371" s="34"/>
      <c r="H371" s="53"/>
      <c r="I371" s="81"/>
    </row>
    <row r="372" spans="7:9" ht="12.75">
      <c r="G372" s="34"/>
      <c r="H372" s="53"/>
      <c r="I372" s="81"/>
    </row>
    <row r="373" spans="7:9" ht="12.75">
      <c r="G373" s="34"/>
      <c r="H373" s="53"/>
      <c r="I373" s="81"/>
    </row>
    <row r="374" spans="7:9" ht="12.75">
      <c r="G374" s="34"/>
      <c r="H374" s="53"/>
      <c r="I374" s="81"/>
    </row>
    <row r="375" spans="7:9" ht="12.75">
      <c r="G375" s="34"/>
      <c r="H375" s="53"/>
      <c r="I375" s="81"/>
    </row>
    <row r="376" spans="7:9" ht="12.75">
      <c r="G376" s="34"/>
      <c r="H376" s="53"/>
      <c r="I376" s="81"/>
    </row>
    <row r="377" spans="7:9" ht="12.75">
      <c r="G377" s="34"/>
      <c r="H377" s="53"/>
      <c r="I377" s="81"/>
    </row>
    <row r="378" spans="7:9" ht="12.75">
      <c r="G378" s="34"/>
      <c r="H378" s="53"/>
      <c r="I378" s="81"/>
    </row>
    <row r="379" spans="7:9" ht="12.75">
      <c r="G379" s="34"/>
      <c r="H379" s="53"/>
      <c r="I379" s="81"/>
    </row>
    <row r="380" spans="7:9" ht="12.75">
      <c r="G380" s="34"/>
      <c r="H380" s="53"/>
      <c r="I380" s="81"/>
    </row>
    <row r="381" spans="7:9" ht="12.75">
      <c r="G381" s="34"/>
      <c r="H381" s="53"/>
      <c r="I381" s="81"/>
    </row>
    <row r="382" spans="7:9" ht="12.75">
      <c r="G382" s="34"/>
      <c r="H382" s="53"/>
      <c r="I382" s="81"/>
    </row>
    <row r="383" spans="7:9" ht="12.75">
      <c r="G383" s="34"/>
      <c r="H383" s="53"/>
      <c r="I383" s="81"/>
    </row>
    <row r="384" spans="7:9" ht="12.75">
      <c r="G384" s="34"/>
      <c r="H384" s="53"/>
      <c r="I384" s="81"/>
    </row>
    <row r="385" spans="7:9" ht="12.75">
      <c r="G385" s="34"/>
      <c r="H385" s="53"/>
      <c r="I385" s="81"/>
    </row>
    <row r="386" spans="7:9" ht="12.75">
      <c r="G386" s="34"/>
      <c r="H386" s="53"/>
      <c r="I386" s="81"/>
    </row>
    <row r="387" spans="7:9" ht="12.75">
      <c r="G387" s="34"/>
      <c r="H387" s="53"/>
      <c r="I387" s="81"/>
    </row>
    <row r="388" spans="7:9" ht="12.75">
      <c r="G388" s="34"/>
      <c r="H388" s="53"/>
      <c r="I388" s="81"/>
    </row>
    <row r="389" spans="7:9" ht="12.75">
      <c r="G389" s="34"/>
      <c r="H389" s="53"/>
      <c r="I389" s="81"/>
    </row>
    <row r="390" spans="7:9" ht="12.75">
      <c r="G390" s="34"/>
      <c r="H390" s="53"/>
      <c r="I390" s="81"/>
    </row>
    <row r="391" spans="7:9" ht="12.75">
      <c r="G391" s="34"/>
      <c r="H391" s="53"/>
      <c r="I391" s="81"/>
    </row>
    <row r="392" spans="7:9" ht="12.75">
      <c r="G392" s="34"/>
      <c r="H392" s="53"/>
      <c r="I392" s="81"/>
    </row>
    <row r="393" spans="7:9" ht="12.75">
      <c r="G393" s="34"/>
      <c r="H393" s="53"/>
      <c r="I393" s="81"/>
    </row>
    <row r="394" spans="7:9" ht="12.75">
      <c r="G394" s="34"/>
      <c r="H394" s="53"/>
      <c r="I394" s="81"/>
    </row>
    <row r="395" spans="7:9" ht="12.75">
      <c r="G395" s="34"/>
      <c r="H395" s="53"/>
      <c r="I395" s="81"/>
    </row>
    <row r="396" spans="7:9" ht="12.75">
      <c r="G396" s="34"/>
      <c r="H396" s="53"/>
      <c r="I396" s="81"/>
    </row>
    <row r="397" spans="7:9" ht="12.75">
      <c r="G397" s="34"/>
      <c r="H397" s="53"/>
      <c r="I397" s="81"/>
    </row>
    <row r="398" spans="7:9" ht="12.75">
      <c r="G398" s="34"/>
      <c r="H398" s="53"/>
      <c r="I398" s="81"/>
    </row>
    <row r="399" spans="7:9" ht="12.75">
      <c r="G399" s="34"/>
      <c r="H399" s="53"/>
      <c r="I399" s="81"/>
    </row>
    <row r="400" spans="7:9" ht="12.75">
      <c r="G400" s="34"/>
      <c r="H400" s="53"/>
      <c r="I400" s="81"/>
    </row>
    <row r="401" spans="7:9" ht="12.75">
      <c r="G401" s="34"/>
      <c r="H401" s="53"/>
      <c r="I401" s="81"/>
    </row>
    <row r="402" spans="7:9" ht="12.75">
      <c r="G402" s="34"/>
      <c r="H402" s="53"/>
      <c r="I402" s="81"/>
    </row>
    <row r="403" spans="7:9" ht="12.75">
      <c r="G403" s="34"/>
      <c r="H403" s="53"/>
      <c r="I403" s="81"/>
    </row>
    <row r="404" spans="7:9" ht="12.75">
      <c r="G404" s="34"/>
      <c r="H404" s="53"/>
      <c r="I404" s="81"/>
    </row>
    <row r="405" spans="7:9" ht="12.75">
      <c r="G405" s="34"/>
      <c r="H405" s="53"/>
      <c r="I405" s="81"/>
    </row>
    <row r="406" spans="7:9" ht="12.75">
      <c r="G406" s="34"/>
      <c r="H406" s="53"/>
      <c r="I406" s="81"/>
    </row>
    <row r="407" spans="7:9" ht="12.75">
      <c r="G407" s="34"/>
      <c r="H407" s="53"/>
      <c r="I407" s="81"/>
    </row>
    <row r="408" spans="7:9" ht="12.75">
      <c r="G408" s="34"/>
      <c r="H408" s="53"/>
      <c r="I408" s="81"/>
    </row>
    <row r="409" spans="7:9" ht="12.75">
      <c r="G409" s="34"/>
      <c r="H409" s="53"/>
      <c r="I409" s="81"/>
    </row>
    <row r="410" spans="7:9" ht="12.75">
      <c r="G410" s="34"/>
      <c r="H410" s="53"/>
      <c r="I410" s="81"/>
    </row>
    <row r="411" spans="7:9" ht="12.75">
      <c r="G411" s="34"/>
      <c r="H411" s="53"/>
      <c r="I411" s="81"/>
    </row>
    <row r="412" spans="7:9" ht="12.75">
      <c r="G412" s="34"/>
      <c r="H412" s="53"/>
      <c r="I412" s="81"/>
    </row>
    <row r="413" spans="7:9" ht="12.75">
      <c r="G413" s="34"/>
      <c r="H413" s="53"/>
      <c r="I413" s="81"/>
    </row>
    <row r="414" spans="7:9" ht="12.75">
      <c r="G414" s="34"/>
      <c r="H414" s="53"/>
      <c r="I414" s="81"/>
    </row>
    <row r="415" spans="7:9" ht="12.75">
      <c r="G415" s="34"/>
      <c r="H415" s="53"/>
      <c r="I415" s="81"/>
    </row>
    <row r="416" spans="7:9" ht="12.75">
      <c r="G416" s="34"/>
      <c r="H416" s="53"/>
      <c r="I416" s="81"/>
    </row>
    <row r="417" spans="7:9" ht="12.75">
      <c r="G417" s="34"/>
      <c r="H417" s="53"/>
      <c r="I417" s="81"/>
    </row>
    <row r="418" spans="7:9" ht="12.75">
      <c r="G418" s="34"/>
      <c r="H418" s="53"/>
      <c r="I418" s="81"/>
    </row>
    <row r="419" spans="7:9" ht="12.75">
      <c r="G419" s="34"/>
      <c r="H419" s="53"/>
      <c r="I419" s="81"/>
    </row>
    <row r="420" spans="7:9" ht="12.75">
      <c r="G420" s="34"/>
      <c r="H420" s="53"/>
      <c r="I420" s="81"/>
    </row>
    <row r="421" spans="7:9" ht="12.75">
      <c r="G421" s="34"/>
      <c r="H421" s="53"/>
      <c r="I421" s="81"/>
    </row>
    <row r="422" spans="7:9" ht="12.75">
      <c r="G422" s="34"/>
      <c r="H422" s="53"/>
      <c r="I422" s="81"/>
    </row>
    <row r="423" spans="7:9" ht="12.75">
      <c r="G423" s="34"/>
      <c r="H423" s="53"/>
      <c r="I423" s="81"/>
    </row>
    <row r="424" spans="7:9" ht="12.75">
      <c r="G424" s="34"/>
      <c r="H424" s="53"/>
      <c r="I424" s="81"/>
    </row>
    <row r="425" spans="7:9" ht="12.75">
      <c r="G425" s="34"/>
      <c r="H425" s="53"/>
      <c r="I425" s="81"/>
    </row>
    <row r="426" spans="7:9" ht="12.75">
      <c r="G426" s="34"/>
      <c r="H426" s="53"/>
      <c r="I426" s="81"/>
    </row>
    <row r="427" spans="7:9" ht="12.75">
      <c r="G427" s="34"/>
      <c r="H427" s="53"/>
      <c r="I427" s="81"/>
    </row>
    <row r="428" spans="7:9" ht="12.75">
      <c r="G428" s="34"/>
      <c r="H428" s="53"/>
      <c r="I428" s="81"/>
    </row>
    <row r="429" spans="7:9" ht="12.75">
      <c r="G429" s="34"/>
      <c r="H429" s="53"/>
      <c r="I429" s="81"/>
    </row>
    <row r="430" spans="7:9" ht="12.75">
      <c r="G430" s="34"/>
      <c r="H430" s="53"/>
      <c r="I430" s="81"/>
    </row>
    <row r="431" spans="7:9" ht="12.75">
      <c r="G431" s="34"/>
      <c r="H431" s="53"/>
      <c r="I431" s="81"/>
    </row>
    <row r="432" spans="7:9" ht="12.75">
      <c r="G432" s="34"/>
      <c r="H432" s="53"/>
      <c r="I432" s="81"/>
    </row>
    <row r="433" spans="7:9" ht="12.75">
      <c r="G433" s="34"/>
      <c r="H433" s="53"/>
      <c r="I433" s="81"/>
    </row>
    <row r="434" spans="7:9" ht="12.75">
      <c r="G434" s="34"/>
      <c r="H434" s="53"/>
      <c r="I434" s="81"/>
    </row>
    <row r="435" spans="7:9" ht="12.75">
      <c r="G435" s="34"/>
      <c r="H435" s="53"/>
      <c r="I435" s="81"/>
    </row>
    <row r="436" spans="7:9" ht="12.75">
      <c r="G436" s="34"/>
      <c r="H436" s="53"/>
      <c r="I436" s="81"/>
    </row>
    <row r="437" spans="7:9" ht="12.75">
      <c r="G437" s="34"/>
      <c r="H437" s="53"/>
      <c r="I437" s="81"/>
    </row>
    <row r="438" spans="7:9" ht="12.75">
      <c r="G438" s="34"/>
      <c r="H438" s="53"/>
      <c r="I438" s="81"/>
    </row>
    <row r="439" spans="7:9" ht="12.75">
      <c r="G439" s="34"/>
      <c r="H439" s="53"/>
      <c r="I439" s="81"/>
    </row>
    <row r="440" spans="7:9" ht="12.75">
      <c r="G440" s="34"/>
      <c r="H440" s="53"/>
      <c r="I440" s="81"/>
    </row>
    <row r="441" spans="7:9" ht="12.75">
      <c r="G441" s="34"/>
      <c r="H441" s="53"/>
      <c r="I441" s="81"/>
    </row>
    <row r="442" spans="7:9" ht="12.75">
      <c r="G442" s="34"/>
      <c r="H442" s="53"/>
      <c r="I442" s="81"/>
    </row>
    <row r="443" spans="7:9" ht="12.75">
      <c r="G443" s="34"/>
      <c r="H443" s="53"/>
      <c r="I443" s="81"/>
    </row>
    <row r="444" spans="7:9" ht="12.75">
      <c r="G444" s="34"/>
      <c r="H444" s="53"/>
      <c r="I444" s="81"/>
    </row>
    <row r="445" spans="7:9" ht="12.75">
      <c r="G445" s="34"/>
      <c r="H445" s="53"/>
      <c r="I445" s="81"/>
    </row>
    <row r="446" spans="7:9" ht="12.75">
      <c r="G446" s="34"/>
      <c r="H446" s="53"/>
      <c r="I446" s="81"/>
    </row>
    <row r="447" spans="7:9" ht="12.75">
      <c r="G447" s="34"/>
      <c r="H447" s="53"/>
      <c r="I447" s="81"/>
    </row>
    <row r="448" spans="7:9" ht="12.75">
      <c r="G448" s="34"/>
      <c r="H448" s="53"/>
      <c r="I448" s="81"/>
    </row>
    <row r="449" spans="7:9" ht="12.75">
      <c r="G449" s="34"/>
      <c r="H449" s="53"/>
      <c r="I449" s="81"/>
    </row>
    <row r="450" spans="7:9" ht="12.75">
      <c r="G450" s="34"/>
      <c r="H450" s="53"/>
      <c r="I450" s="81"/>
    </row>
    <row r="451" spans="7:9" ht="12.75">
      <c r="G451" s="34"/>
      <c r="H451" s="53"/>
      <c r="I451" s="81"/>
    </row>
    <row r="452" spans="7:9" ht="12.75">
      <c r="G452" s="34"/>
      <c r="H452" s="53"/>
      <c r="I452" s="81"/>
    </row>
    <row r="453" spans="7:9" ht="12.75">
      <c r="G453" s="34"/>
      <c r="H453" s="53"/>
      <c r="I453" s="81"/>
    </row>
    <row r="454" spans="7:9" ht="12.75">
      <c r="G454" s="34"/>
      <c r="H454" s="53"/>
      <c r="I454" s="81"/>
    </row>
    <row r="455" spans="7:9" ht="12.75">
      <c r="G455" s="34"/>
      <c r="H455" s="53"/>
      <c r="I455" s="81"/>
    </row>
    <row r="456" spans="7:9" ht="12.75">
      <c r="G456" s="34"/>
      <c r="H456" s="53"/>
      <c r="I456" s="81"/>
    </row>
    <row r="457" spans="7:9" ht="12.75">
      <c r="G457" s="34"/>
      <c r="H457" s="53"/>
      <c r="I457" s="81"/>
    </row>
    <row r="458" spans="7:9" ht="12.75">
      <c r="G458" s="34"/>
      <c r="H458" s="53"/>
      <c r="I458" s="81"/>
    </row>
    <row r="459" spans="7:9" ht="12.75">
      <c r="G459" s="34"/>
      <c r="H459" s="53"/>
      <c r="I459" s="81"/>
    </row>
    <row r="460" spans="7:9" ht="12.75">
      <c r="G460" s="34"/>
      <c r="H460" s="53"/>
      <c r="I460" s="81"/>
    </row>
    <row r="461" spans="7:9" ht="12.75">
      <c r="G461" s="34"/>
      <c r="H461" s="53"/>
      <c r="I461" s="81"/>
    </row>
    <row r="462" spans="7:9" ht="12.75">
      <c r="G462" s="34"/>
      <c r="H462" s="53"/>
      <c r="I462" s="81"/>
    </row>
    <row r="463" spans="7:9" ht="12.75">
      <c r="G463" s="34"/>
      <c r="H463" s="53"/>
      <c r="I463" s="81"/>
    </row>
    <row r="464" spans="7:9" ht="12.75">
      <c r="G464" s="34"/>
      <c r="H464" s="53"/>
      <c r="I464" s="81"/>
    </row>
    <row r="465" spans="7:9" ht="12.75">
      <c r="G465" s="34"/>
      <c r="H465" s="53"/>
      <c r="I465" s="81"/>
    </row>
    <row r="466" spans="7:9" ht="12.75">
      <c r="G466" s="34"/>
      <c r="H466" s="53"/>
      <c r="I466" s="81"/>
    </row>
    <row r="467" spans="7:9" ht="12.75">
      <c r="G467" s="34"/>
      <c r="H467" s="53"/>
      <c r="I467" s="81"/>
    </row>
    <row r="468" spans="7:9" ht="12.75">
      <c r="G468" s="34"/>
      <c r="H468" s="53"/>
      <c r="I468" s="81"/>
    </row>
    <row r="469" spans="7:9" ht="12.75">
      <c r="G469" s="34"/>
      <c r="H469" s="53"/>
      <c r="I469" s="81"/>
    </row>
    <row r="470" spans="7:9" ht="12.75">
      <c r="G470" s="34"/>
      <c r="H470" s="53"/>
      <c r="I470" s="81"/>
    </row>
    <row r="471" spans="7:9" ht="12.75">
      <c r="G471" s="34"/>
      <c r="H471" s="53"/>
      <c r="I471" s="81"/>
    </row>
    <row r="472" spans="7:9" ht="12.75">
      <c r="G472" s="34"/>
      <c r="H472" s="53"/>
      <c r="I472" s="81"/>
    </row>
    <row r="473" spans="7:9" ht="12.75">
      <c r="G473" s="34"/>
      <c r="H473" s="53"/>
      <c r="I473" s="81"/>
    </row>
    <row r="474" spans="7:9" ht="12.75">
      <c r="G474" s="34"/>
      <c r="H474" s="53"/>
      <c r="I474" s="81"/>
    </row>
    <row r="475" spans="7:9" ht="12.75">
      <c r="G475" s="34"/>
      <c r="H475" s="53"/>
      <c r="I475" s="81"/>
    </row>
    <row r="476" spans="7:9" ht="12.75">
      <c r="G476" s="34"/>
      <c r="H476" s="53"/>
      <c r="I476" s="81"/>
    </row>
    <row r="477" spans="7:9" ht="12.75">
      <c r="G477" s="34"/>
      <c r="H477" s="53"/>
      <c r="I477" s="81"/>
    </row>
    <row r="478" spans="7:9" ht="12.75">
      <c r="G478" s="34"/>
      <c r="H478" s="53"/>
      <c r="I478" s="81"/>
    </row>
    <row r="479" spans="7:9" ht="12.75">
      <c r="G479" s="34"/>
      <c r="H479" s="53"/>
      <c r="I479" s="81"/>
    </row>
    <row r="480" spans="7:9" ht="12.75">
      <c r="G480" s="34"/>
      <c r="H480" s="53"/>
      <c r="I480" s="81"/>
    </row>
    <row r="481" spans="7:9" ht="12.75">
      <c r="G481" s="34"/>
      <c r="H481" s="53"/>
      <c r="I481" s="81"/>
    </row>
    <row r="482" spans="7:9" ht="12.75">
      <c r="G482" s="34"/>
      <c r="H482" s="53"/>
      <c r="I482" s="81"/>
    </row>
    <row r="483" spans="7:9" ht="12.75">
      <c r="G483" s="34"/>
      <c r="H483" s="53"/>
      <c r="I483" s="81"/>
    </row>
    <row r="484" spans="7:9" ht="12.75">
      <c r="G484" s="34"/>
      <c r="H484" s="53"/>
      <c r="I484" s="81"/>
    </row>
    <row r="485" spans="7:9" ht="12.75">
      <c r="G485" s="34"/>
      <c r="H485" s="53"/>
      <c r="I485" s="81"/>
    </row>
    <row r="486" spans="7:9" ht="12.75">
      <c r="G486" s="34"/>
      <c r="H486" s="53"/>
      <c r="I486" s="81"/>
    </row>
    <row r="487" spans="7:9" ht="12.75">
      <c r="G487" s="34"/>
      <c r="H487" s="53"/>
      <c r="I487" s="81"/>
    </row>
    <row r="488" spans="7:9" ht="12.75">
      <c r="G488" s="34"/>
      <c r="H488" s="53"/>
      <c r="I488" s="81"/>
    </row>
    <row r="489" spans="7:9" ht="12.75">
      <c r="G489" s="34"/>
      <c r="H489" s="53"/>
      <c r="I489" s="81"/>
    </row>
    <row r="490" spans="7:9" ht="12.75">
      <c r="G490" s="34"/>
      <c r="H490" s="53"/>
      <c r="I490" s="81"/>
    </row>
    <row r="491" spans="7:9" ht="12.75">
      <c r="G491" s="34"/>
      <c r="H491" s="53"/>
      <c r="I491" s="81"/>
    </row>
    <row r="492" spans="7:9" ht="12.75">
      <c r="G492" s="34"/>
      <c r="H492" s="53"/>
      <c r="I492" s="81"/>
    </row>
    <row r="493" spans="7:9" ht="12.75">
      <c r="G493" s="34"/>
      <c r="H493" s="53"/>
      <c r="I493" s="81"/>
    </row>
    <row r="494" spans="7:9" ht="12.75">
      <c r="G494" s="34"/>
      <c r="H494" s="53"/>
      <c r="I494" s="81"/>
    </row>
    <row r="495" spans="7:9" ht="12.75">
      <c r="G495" s="34"/>
      <c r="H495" s="53"/>
      <c r="I495" s="81"/>
    </row>
    <row r="496" spans="7:9" ht="12.75">
      <c r="G496" s="34"/>
      <c r="H496" s="53"/>
      <c r="I496" s="81"/>
    </row>
    <row r="497" spans="7:9" ht="12.75">
      <c r="G497" s="34"/>
      <c r="H497" s="53"/>
      <c r="I497" s="81"/>
    </row>
    <row r="498" spans="7:9" ht="12.75">
      <c r="G498" s="34"/>
      <c r="H498" s="53"/>
      <c r="I498" s="81"/>
    </row>
    <row r="499" spans="7:9" ht="12.75">
      <c r="G499" s="34"/>
      <c r="H499" s="53"/>
      <c r="I499" s="81"/>
    </row>
    <row r="500" spans="7:9" ht="12.75">
      <c r="G500" s="34"/>
      <c r="H500" s="53"/>
      <c r="I500" s="81"/>
    </row>
    <row r="501" spans="7:9" ht="12.75">
      <c r="G501" s="34"/>
      <c r="H501" s="53"/>
      <c r="I501" s="81"/>
    </row>
    <row r="502" spans="7:9" ht="12.75">
      <c r="G502" s="34"/>
      <c r="H502" s="53"/>
      <c r="I502" s="81"/>
    </row>
    <row r="503" spans="7:9" ht="12.75">
      <c r="G503" s="34"/>
      <c r="H503" s="53"/>
      <c r="I503" s="81"/>
    </row>
    <row r="504" spans="7:9" ht="12.75">
      <c r="G504" s="34"/>
      <c r="H504" s="53"/>
      <c r="I504" s="81"/>
    </row>
    <row r="505" spans="7:9" ht="12.75">
      <c r="G505" s="34"/>
      <c r="H505" s="53"/>
      <c r="I505" s="81"/>
    </row>
    <row r="506" spans="7:9" ht="12.75">
      <c r="G506" s="34"/>
      <c r="H506" s="53"/>
      <c r="I506" s="81"/>
    </row>
    <row r="507" spans="7:9" ht="12.75">
      <c r="G507" s="34"/>
      <c r="H507" s="53"/>
      <c r="I507" s="81"/>
    </row>
    <row r="508" spans="7:9" ht="12.75">
      <c r="G508" s="34"/>
      <c r="H508" s="53"/>
      <c r="I508" s="81"/>
    </row>
    <row r="509" spans="7:9" ht="12.75">
      <c r="G509" s="34"/>
      <c r="H509" s="53"/>
      <c r="I509" s="81"/>
    </row>
    <row r="510" spans="7:9" ht="12.75">
      <c r="G510" s="34"/>
      <c r="H510" s="53"/>
      <c r="I510" s="81"/>
    </row>
    <row r="511" spans="7:9" ht="12.75">
      <c r="G511" s="34"/>
      <c r="H511" s="53"/>
      <c r="I511" s="81"/>
    </row>
    <row r="512" spans="7:9" ht="12.75">
      <c r="G512" s="34"/>
      <c r="H512" s="53"/>
      <c r="I512" s="81"/>
    </row>
    <row r="513" spans="7:9" ht="12.75">
      <c r="G513" s="34"/>
      <c r="H513" s="53"/>
      <c r="I513" s="81"/>
    </row>
    <row r="514" spans="7:9" ht="12.75">
      <c r="G514" s="34"/>
      <c r="H514" s="53"/>
      <c r="I514" s="81"/>
    </row>
    <row r="515" spans="7:9" ht="12.75">
      <c r="G515" s="34"/>
      <c r="H515" s="53"/>
      <c r="I515" s="81"/>
    </row>
    <row r="516" spans="7:9" ht="12.75">
      <c r="G516" s="34"/>
      <c r="H516" s="53"/>
      <c r="I516" s="81"/>
    </row>
    <row r="517" spans="7:9" ht="12.75">
      <c r="G517" s="34"/>
      <c r="H517" s="53"/>
      <c r="I517" s="81"/>
    </row>
    <row r="518" spans="7:9" ht="12.75">
      <c r="G518" s="34"/>
      <c r="H518" s="53"/>
      <c r="I518" s="81"/>
    </row>
    <row r="519" spans="7:9" ht="12.75">
      <c r="G519" s="34"/>
      <c r="H519" s="53"/>
      <c r="I519" s="81"/>
    </row>
    <row r="520" spans="7:9" ht="12.75">
      <c r="G520" s="34"/>
      <c r="H520" s="53"/>
      <c r="I520" s="81"/>
    </row>
    <row r="521" spans="7:9" ht="12.75">
      <c r="G521" s="34"/>
      <c r="H521" s="53"/>
      <c r="I521" s="81"/>
    </row>
    <row r="522" spans="7:9" ht="12.75">
      <c r="G522" s="34"/>
      <c r="H522" s="53"/>
      <c r="I522" s="81"/>
    </row>
    <row r="523" spans="7:9" ht="12.75">
      <c r="G523" s="34"/>
      <c r="H523" s="53"/>
      <c r="I523" s="81"/>
    </row>
    <row r="524" spans="7:9" ht="12.75">
      <c r="G524" s="34"/>
      <c r="H524" s="53"/>
      <c r="I524" s="81"/>
    </row>
    <row r="525" spans="7:9" ht="12.75">
      <c r="G525" s="34"/>
      <c r="H525" s="53"/>
      <c r="I525" s="81"/>
    </row>
    <row r="526" spans="7:9" ht="12.75">
      <c r="G526" s="34"/>
      <c r="H526" s="53"/>
      <c r="I526" s="81"/>
    </row>
    <row r="527" spans="7:9" ht="12.75">
      <c r="G527" s="34"/>
      <c r="H527" s="53"/>
      <c r="I527" s="81"/>
    </row>
    <row r="528" spans="7:9" ht="12.75">
      <c r="G528" s="34"/>
      <c r="H528" s="53"/>
      <c r="I528" s="81"/>
    </row>
    <row r="529" spans="7:9" ht="12.75">
      <c r="G529" s="34"/>
      <c r="H529" s="53"/>
      <c r="I529" s="81"/>
    </row>
    <row r="530" spans="7:9" ht="12.75">
      <c r="G530" s="34"/>
      <c r="H530" s="53"/>
      <c r="I530" s="81"/>
    </row>
    <row r="531" spans="7:9" ht="12.75">
      <c r="G531" s="34"/>
      <c r="H531" s="53"/>
      <c r="I531" s="81"/>
    </row>
    <row r="532" spans="7:9" ht="12.75">
      <c r="G532" s="34"/>
      <c r="H532" s="53"/>
      <c r="I532" s="81"/>
    </row>
    <row r="533" spans="7:9" ht="12.75">
      <c r="G533" s="34"/>
      <c r="H533" s="53"/>
      <c r="I533" s="81"/>
    </row>
    <row r="534" spans="7:9" ht="12.75">
      <c r="G534" s="34"/>
      <c r="H534" s="53"/>
      <c r="I534" s="81"/>
    </row>
    <row r="535" spans="7:9" ht="12.75">
      <c r="G535" s="34"/>
      <c r="H535" s="53"/>
      <c r="I535" s="81"/>
    </row>
    <row r="536" spans="7:9" ht="12.75">
      <c r="G536" s="34"/>
      <c r="H536" s="53"/>
      <c r="I536" s="81"/>
    </row>
    <row r="537" spans="7:9" ht="12.75">
      <c r="G537" s="34"/>
      <c r="H537" s="53"/>
      <c r="I537" s="81"/>
    </row>
    <row r="538" spans="7:9" ht="12.75">
      <c r="G538" s="34"/>
      <c r="H538" s="53"/>
      <c r="I538" s="81"/>
    </row>
    <row r="539" spans="7:9" ht="12.75">
      <c r="G539" s="34"/>
      <c r="H539" s="53"/>
      <c r="I539" s="81"/>
    </row>
    <row r="540" spans="7:9" ht="12.75">
      <c r="G540" s="34"/>
      <c r="H540" s="53"/>
      <c r="I540" s="81"/>
    </row>
    <row r="541" spans="7:9" ht="12.75">
      <c r="G541" s="34"/>
      <c r="H541" s="53"/>
      <c r="I541" s="81"/>
    </row>
    <row r="542" spans="7:9" ht="12.75">
      <c r="G542" s="34"/>
      <c r="H542" s="53"/>
      <c r="I542" s="81"/>
    </row>
    <row r="543" spans="7:9" ht="12.75">
      <c r="G543" s="34"/>
      <c r="H543" s="53"/>
      <c r="I543" s="81"/>
    </row>
    <row r="544" spans="7:9" ht="12.75">
      <c r="G544" s="34"/>
      <c r="H544" s="53"/>
      <c r="I544" s="81"/>
    </row>
    <row r="545" spans="7:9" ht="12.75">
      <c r="G545" s="34"/>
      <c r="H545" s="53"/>
      <c r="I545" s="81"/>
    </row>
    <row r="546" spans="7:9" ht="12.75">
      <c r="G546" s="34"/>
      <c r="H546" s="53"/>
      <c r="I546" s="81"/>
    </row>
    <row r="547" spans="7:9" ht="12.75">
      <c r="G547" s="34"/>
      <c r="H547" s="53"/>
      <c r="I547" s="81"/>
    </row>
    <row r="548" spans="7:9" ht="12.75">
      <c r="G548" s="34"/>
      <c r="H548" s="53"/>
      <c r="I548" s="81"/>
    </row>
    <row r="549" spans="7:9" ht="12.75">
      <c r="G549" s="34"/>
      <c r="H549" s="53"/>
      <c r="I549" s="81"/>
    </row>
    <row r="550" spans="7:9" ht="12.75">
      <c r="G550" s="34"/>
      <c r="H550" s="53"/>
      <c r="I550" s="81"/>
    </row>
    <row r="551" spans="7:9" ht="12.75">
      <c r="G551" s="34"/>
      <c r="H551" s="53"/>
      <c r="I551" s="81"/>
    </row>
    <row r="552" spans="7:9" ht="12.75">
      <c r="G552" s="34"/>
      <c r="H552" s="53"/>
      <c r="I552" s="81"/>
    </row>
    <row r="553" spans="7:9" ht="12.75">
      <c r="G553" s="34"/>
      <c r="H553" s="53"/>
      <c r="I553" s="81"/>
    </row>
    <row r="554" spans="7:9" ht="12.75">
      <c r="G554" s="34"/>
      <c r="H554" s="53"/>
      <c r="I554" s="81"/>
    </row>
    <row r="555" spans="7:9" ht="12.75">
      <c r="G555" s="34"/>
      <c r="H555" s="53"/>
      <c r="I555" s="81"/>
    </row>
    <row r="556" spans="7:9" ht="12.75">
      <c r="G556" s="34"/>
      <c r="H556" s="53"/>
      <c r="I556" s="81"/>
    </row>
    <row r="557" spans="7:9" ht="12.75">
      <c r="G557" s="34"/>
      <c r="H557" s="53"/>
      <c r="I557" s="81"/>
    </row>
    <row r="558" spans="7:9" ht="12.75">
      <c r="G558" s="34"/>
      <c r="H558" s="53"/>
      <c r="I558" s="81"/>
    </row>
    <row r="559" spans="7:9" ht="12.75">
      <c r="G559" s="34"/>
      <c r="H559" s="53"/>
      <c r="I559" s="81"/>
    </row>
    <row r="560" spans="7:9" ht="12.75">
      <c r="G560" s="34"/>
      <c r="H560" s="53"/>
      <c r="I560" s="81"/>
    </row>
    <row r="561" spans="7:9" ht="12.75">
      <c r="G561" s="34"/>
      <c r="H561" s="53"/>
      <c r="I561" s="81"/>
    </row>
    <row r="562" spans="7:9" ht="12.75">
      <c r="G562" s="34"/>
      <c r="H562" s="53"/>
      <c r="I562" s="81"/>
    </row>
    <row r="563" spans="7:9" ht="12.75">
      <c r="G563" s="34"/>
      <c r="H563" s="53"/>
      <c r="I563" s="81"/>
    </row>
    <row r="564" spans="7:9" ht="12.75">
      <c r="G564" s="34"/>
      <c r="H564" s="53"/>
      <c r="I564" s="81"/>
    </row>
    <row r="565" spans="7:9" ht="12.75">
      <c r="G565" s="34"/>
      <c r="H565" s="53"/>
      <c r="I565" s="81"/>
    </row>
    <row r="566" spans="7:9" ht="12.75">
      <c r="G566" s="34"/>
      <c r="H566" s="53"/>
      <c r="I566" s="81"/>
    </row>
    <row r="567" spans="7:9" ht="12.75">
      <c r="G567" s="34"/>
      <c r="H567" s="53"/>
      <c r="I567" s="81"/>
    </row>
    <row r="568" spans="7:9" ht="12.75">
      <c r="G568" s="34"/>
      <c r="H568" s="53"/>
      <c r="I568" s="81"/>
    </row>
    <row r="569" spans="7:9" ht="12.75">
      <c r="G569" s="34"/>
      <c r="H569" s="53"/>
      <c r="I569" s="81"/>
    </row>
    <row r="570" spans="7:9" ht="12.75">
      <c r="G570" s="34"/>
      <c r="H570" s="53"/>
      <c r="I570" s="81"/>
    </row>
    <row r="571" spans="7:9" ht="12.75">
      <c r="G571" s="34"/>
      <c r="H571" s="53"/>
      <c r="I571" s="81"/>
    </row>
    <row r="572" spans="7:9" ht="12.75">
      <c r="G572" s="34"/>
      <c r="H572" s="53"/>
      <c r="I572" s="81"/>
    </row>
    <row r="573" spans="7:9" ht="12.75">
      <c r="G573" s="34"/>
      <c r="H573" s="53"/>
      <c r="I573" s="81"/>
    </row>
    <row r="574" spans="7:9" ht="12.75">
      <c r="G574" s="34"/>
      <c r="H574" s="53"/>
      <c r="I574" s="81"/>
    </row>
    <row r="575" spans="7:9" ht="12.75">
      <c r="G575" s="34"/>
      <c r="H575" s="53"/>
      <c r="I575" s="81"/>
    </row>
    <row r="576" spans="7:9" ht="12.75">
      <c r="G576" s="34"/>
      <c r="H576" s="53"/>
      <c r="I576" s="81"/>
    </row>
    <row r="577" spans="7:9" ht="12.75">
      <c r="G577" s="34"/>
      <c r="H577" s="53"/>
      <c r="I577" s="81"/>
    </row>
    <row r="578" spans="7:9" ht="12.75">
      <c r="G578" s="34"/>
      <c r="H578" s="53"/>
      <c r="I578" s="81"/>
    </row>
    <row r="579" spans="7:9" ht="12.75">
      <c r="G579" s="34"/>
      <c r="H579" s="53"/>
      <c r="I579" s="81"/>
    </row>
    <row r="580" spans="7:9" ht="12.75">
      <c r="G580" s="34"/>
      <c r="H580" s="53"/>
      <c r="I580" s="81"/>
    </row>
    <row r="581" spans="7:9" ht="12.75">
      <c r="G581" s="34"/>
      <c r="H581" s="53"/>
      <c r="I581" s="81"/>
    </row>
    <row r="582" spans="7:9" ht="12.75">
      <c r="G582" s="34"/>
      <c r="H582" s="53"/>
      <c r="I582" s="81"/>
    </row>
    <row r="583" spans="7:9" ht="12.75">
      <c r="G583" s="34"/>
      <c r="H583" s="53"/>
      <c r="I583" s="81"/>
    </row>
    <row r="584" spans="7:9" ht="12.75">
      <c r="G584" s="34"/>
      <c r="H584" s="53"/>
      <c r="I584" s="81"/>
    </row>
    <row r="585" spans="7:9" ht="12.75">
      <c r="G585" s="34"/>
      <c r="H585" s="53"/>
      <c r="I585" s="81"/>
    </row>
    <row r="586" spans="7:9" ht="12.75">
      <c r="G586" s="34"/>
      <c r="H586" s="53"/>
      <c r="I586" s="81"/>
    </row>
    <row r="587" spans="7:9" ht="12.75">
      <c r="G587" s="34"/>
      <c r="H587" s="53"/>
      <c r="I587" s="81"/>
    </row>
    <row r="588" spans="7:9" ht="12.75">
      <c r="G588" s="34"/>
      <c r="H588" s="53"/>
      <c r="I588" s="81"/>
    </row>
    <row r="589" spans="7:9" ht="12.75">
      <c r="G589" s="34"/>
      <c r="H589" s="53"/>
      <c r="I589" s="81"/>
    </row>
    <row r="590" spans="7:9" ht="12.75">
      <c r="G590" s="34"/>
      <c r="H590" s="53"/>
      <c r="I590" s="81"/>
    </row>
    <row r="591" spans="7:9" ht="12.75">
      <c r="G591" s="34"/>
      <c r="H591" s="53"/>
      <c r="I591" s="81"/>
    </row>
    <row r="592" spans="7:9" ht="12.75">
      <c r="G592" s="34"/>
      <c r="H592" s="53"/>
      <c r="I592" s="81"/>
    </row>
    <row r="593" spans="7:9" ht="12.75">
      <c r="G593" s="34"/>
      <c r="H593" s="53"/>
      <c r="I593" s="81"/>
    </row>
    <row r="594" spans="7:9" ht="12.75">
      <c r="G594" s="34"/>
      <c r="H594" s="53"/>
      <c r="I594" s="81"/>
    </row>
    <row r="595" spans="7:9" ht="12.75">
      <c r="G595" s="34"/>
      <c r="H595" s="53"/>
      <c r="I595" s="81"/>
    </row>
    <row r="596" spans="7:9" ht="12.75">
      <c r="G596" s="34"/>
      <c r="H596" s="53"/>
      <c r="I596" s="81"/>
    </row>
    <row r="597" spans="7:9" ht="12.75">
      <c r="G597" s="34"/>
      <c r="H597" s="53"/>
      <c r="I597" s="81"/>
    </row>
    <row r="598" spans="7:9" ht="12.75">
      <c r="G598" s="34"/>
      <c r="H598" s="53"/>
      <c r="I598" s="81"/>
    </row>
    <row r="599" spans="7:9" ht="12.75">
      <c r="G599" s="34"/>
      <c r="H599" s="53"/>
      <c r="I599" s="81"/>
    </row>
    <row r="600" spans="7:9" ht="12.75">
      <c r="G600" s="34"/>
      <c r="H600" s="53"/>
      <c r="I600" s="81"/>
    </row>
    <row r="601" spans="7:9" ht="12.75">
      <c r="G601" s="34"/>
      <c r="H601" s="53"/>
      <c r="I601" s="81"/>
    </row>
    <row r="602" spans="7:9" ht="12.75">
      <c r="G602" s="34"/>
      <c r="H602" s="53"/>
      <c r="I602" s="81"/>
    </row>
    <row r="603" spans="7:9" ht="12.75">
      <c r="G603" s="34"/>
      <c r="H603" s="53"/>
      <c r="I603" s="81"/>
    </row>
    <row r="604" spans="7:9" ht="12.75">
      <c r="G604" s="34"/>
      <c r="H604" s="53"/>
      <c r="I604" s="81"/>
    </row>
    <row r="605" spans="7:9" ht="12.75">
      <c r="G605" s="34"/>
      <c r="H605" s="53"/>
      <c r="I605" s="81"/>
    </row>
    <row r="606" spans="7:9" ht="12.75">
      <c r="G606" s="34"/>
      <c r="H606" s="53"/>
      <c r="I606" s="81"/>
    </row>
    <row r="607" spans="7:9" ht="12.75">
      <c r="G607" s="34"/>
      <c r="H607" s="53"/>
      <c r="I607" s="81"/>
    </row>
    <row r="608" spans="7:9" ht="12.75">
      <c r="G608" s="34"/>
      <c r="H608" s="53"/>
      <c r="I608" s="81"/>
    </row>
    <row r="609" spans="7:9" ht="12.75">
      <c r="G609" s="34"/>
      <c r="H609" s="53"/>
      <c r="I609" s="81"/>
    </row>
    <row r="610" spans="7:9" ht="12.75">
      <c r="G610" s="34"/>
      <c r="H610" s="53"/>
      <c r="I610" s="81"/>
    </row>
    <row r="611" spans="7:9" ht="12.75">
      <c r="G611" s="34"/>
      <c r="H611" s="53"/>
      <c r="I611" s="81"/>
    </row>
    <row r="612" spans="7:9" ht="12.75">
      <c r="G612" s="34"/>
      <c r="H612" s="53"/>
      <c r="I612" s="81"/>
    </row>
    <row r="613" spans="7:9" ht="12.75">
      <c r="G613" s="34"/>
      <c r="H613" s="53"/>
      <c r="I613" s="81"/>
    </row>
    <row r="614" spans="7:9" ht="12.75">
      <c r="G614" s="34"/>
      <c r="H614" s="53"/>
      <c r="I614" s="81"/>
    </row>
    <row r="615" spans="7:9" ht="12.75">
      <c r="G615" s="34"/>
      <c r="H615" s="53"/>
      <c r="I615" s="81"/>
    </row>
    <row r="616" spans="7:9" ht="12.75">
      <c r="G616" s="34"/>
      <c r="H616" s="53"/>
      <c r="I616" s="81"/>
    </row>
    <row r="617" spans="7:9" ht="12.75">
      <c r="G617" s="34"/>
      <c r="H617" s="53"/>
      <c r="I617" s="81"/>
    </row>
    <row r="618" spans="7:9" ht="12.75">
      <c r="G618" s="34"/>
      <c r="H618" s="53"/>
      <c r="I618" s="81"/>
    </row>
    <row r="619" spans="7:9" ht="12.75">
      <c r="G619" s="34"/>
      <c r="H619" s="53"/>
      <c r="I619" s="81"/>
    </row>
    <row r="620" spans="7:9" ht="12.75">
      <c r="G620" s="34"/>
      <c r="H620" s="53"/>
      <c r="I620" s="81"/>
    </row>
    <row r="621" spans="7:9" ht="12.75">
      <c r="G621" s="34"/>
      <c r="H621" s="53"/>
      <c r="I621" s="81"/>
    </row>
    <row r="622" spans="7:9" ht="12.75">
      <c r="G622" s="34"/>
      <c r="H622" s="53"/>
      <c r="I622" s="81"/>
    </row>
    <row r="623" spans="7:9" ht="12.75">
      <c r="G623" s="34"/>
      <c r="H623" s="53"/>
      <c r="I623" s="81"/>
    </row>
    <row r="624" spans="7:9" ht="12.75">
      <c r="G624" s="34"/>
      <c r="H624" s="53"/>
      <c r="I624" s="81"/>
    </row>
    <row r="625" spans="7:9" ht="12.75">
      <c r="G625" s="34"/>
      <c r="H625" s="53"/>
      <c r="I625" s="81"/>
    </row>
    <row r="626" spans="7:9" ht="12.75">
      <c r="G626" s="34"/>
      <c r="H626" s="53"/>
      <c r="I626" s="81"/>
    </row>
    <row r="627" spans="7:9" ht="12.75">
      <c r="G627" s="34"/>
      <c r="H627" s="53"/>
      <c r="I627" s="81"/>
    </row>
    <row r="628" spans="7:9" ht="12.75">
      <c r="G628" s="34"/>
      <c r="H628" s="53"/>
      <c r="I628" s="81"/>
    </row>
    <row r="629" spans="7:9" ht="12.75">
      <c r="G629" s="34"/>
      <c r="H629" s="53"/>
      <c r="I629" s="81"/>
    </row>
    <row r="630" spans="7:9" ht="12.75">
      <c r="G630" s="34"/>
      <c r="H630" s="53"/>
      <c r="I630" s="81"/>
    </row>
    <row r="631" spans="7:9" ht="12.75">
      <c r="G631" s="34"/>
      <c r="H631" s="53"/>
      <c r="I631" s="81"/>
    </row>
    <row r="632" spans="7:9" ht="12.75">
      <c r="G632" s="34"/>
      <c r="H632" s="53"/>
      <c r="I632" s="81"/>
    </row>
    <row r="633" spans="7:9" ht="12.75">
      <c r="G633" s="34"/>
      <c r="H633" s="53"/>
      <c r="I633" s="81"/>
    </row>
    <row r="634" spans="7:9" ht="12.75">
      <c r="G634" s="34"/>
      <c r="H634" s="53"/>
      <c r="I634" s="81"/>
    </row>
    <row r="635" spans="7:9" ht="12.75">
      <c r="G635" s="34"/>
      <c r="H635" s="53"/>
      <c r="I635" s="81"/>
    </row>
    <row r="636" spans="7:9" ht="12.75">
      <c r="G636" s="34"/>
      <c r="H636" s="53"/>
      <c r="I636" s="81"/>
    </row>
    <row r="637" spans="7:9" ht="12.75">
      <c r="G637" s="34"/>
      <c r="H637" s="53"/>
      <c r="I637" s="81"/>
    </row>
    <row r="638" spans="7:9" ht="12.75">
      <c r="G638" s="34"/>
      <c r="H638" s="53"/>
      <c r="I638" s="81"/>
    </row>
    <row r="639" spans="7:9" ht="12.75">
      <c r="G639" s="34"/>
      <c r="H639" s="53"/>
      <c r="I639" s="81"/>
    </row>
    <row r="640" spans="7:9" ht="12.75">
      <c r="G640" s="34"/>
      <c r="H640" s="53"/>
      <c r="I640" s="81"/>
    </row>
    <row r="641" spans="7:9" ht="12.75">
      <c r="G641" s="34"/>
      <c r="H641" s="53"/>
      <c r="I641" s="81"/>
    </row>
    <row r="642" spans="7:9" ht="12.75">
      <c r="G642" s="34"/>
      <c r="H642" s="53"/>
      <c r="I642" s="81"/>
    </row>
    <row r="643" spans="7:9" ht="12.75">
      <c r="G643" s="34"/>
      <c r="H643" s="53"/>
      <c r="I643" s="81"/>
    </row>
    <row r="644" spans="7:9" ht="12.75">
      <c r="G644" s="34"/>
      <c r="H644" s="53"/>
      <c r="I644" s="81"/>
    </row>
    <row r="645" spans="7:9" ht="12.75">
      <c r="G645" s="34"/>
      <c r="H645" s="53"/>
      <c r="I645" s="81"/>
    </row>
    <row r="646" spans="7:9" ht="12.75">
      <c r="G646" s="34"/>
      <c r="H646" s="53"/>
      <c r="I646" s="81"/>
    </row>
    <row r="647" spans="7:9" ht="12.75">
      <c r="G647" s="34"/>
      <c r="H647" s="53"/>
      <c r="I647" s="81"/>
    </row>
    <row r="648" spans="7:9" ht="12.75">
      <c r="G648" s="34"/>
      <c r="H648" s="53"/>
      <c r="I648" s="81"/>
    </row>
    <row r="649" spans="7:9" ht="12.75">
      <c r="G649" s="34"/>
      <c r="H649" s="53"/>
      <c r="I649" s="81"/>
    </row>
    <row r="650" spans="7:9" ht="12.75">
      <c r="G650" s="34"/>
      <c r="H650" s="53"/>
      <c r="I650" s="81"/>
    </row>
    <row r="651" spans="7:9" ht="12.75">
      <c r="G651" s="34"/>
      <c r="H651" s="53"/>
      <c r="I651" s="81"/>
    </row>
    <row r="652" spans="7:9" ht="12.75">
      <c r="G652" s="34"/>
      <c r="H652" s="53"/>
      <c r="I652" s="81"/>
    </row>
    <row r="653" spans="7:9" ht="12.75">
      <c r="G653" s="34"/>
      <c r="H653" s="53"/>
      <c r="I653" s="81"/>
    </row>
    <row r="654" spans="7:9" ht="12.75">
      <c r="G654" s="34"/>
      <c r="H654" s="53"/>
      <c r="I654" s="81"/>
    </row>
    <row r="655" spans="7:9" ht="12.75">
      <c r="G655" s="34"/>
      <c r="H655" s="53"/>
      <c r="I655" s="81"/>
    </row>
    <row r="656" spans="7:9" ht="12.75">
      <c r="G656" s="34"/>
      <c r="H656" s="53"/>
      <c r="I656" s="81"/>
    </row>
    <row r="657" spans="7:9" ht="12.75">
      <c r="G657" s="34"/>
      <c r="H657" s="53"/>
      <c r="I657" s="81"/>
    </row>
    <row r="658" spans="7:9" ht="12.75">
      <c r="G658" s="34"/>
      <c r="H658" s="53"/>
      <c r="I658" s="81"/>
    </row>
    <row r="659" spans="7:9" ht="12.75">
      <c r="G659" s="34"/>
      <c r="H659" s="53"/>
      <c r="I659" s="81"/>
    </row>
    <row r="660" spans="7:9" ht="12.75">
      <c r="G660" s="34"/>
      <c r="H660" s="53"/>
      <c r="I660" s="81"/>
    </row>
    <row r="661" spans="7:9" ht="12.75">
      <c r="G661" s="34"/>
      <c r="H661" s="53"/>
      <c r="I661" s="81"/>
    </row>
    <row r="662" spans="7:9" ht="12.75">
      <c r="G662" s="34"/>
      <c r="H662" s="53"/>
      <c r="I662" s="81"/>
    </row>
    <row r="663" spans="7:9" ht="12.75">
      <c r="G663" s="34"/>
      <c r="H663" s="53"/>
      <c r="I663" s="81"/>
    </row>
    <row r="664" spans="7:9" ht="12.75">
      <c r="G664" s="34"/>
      <c r="H664" s="53"/>
      <c r="I664" s="81"/>
    </row>
    <row r="665" spans="7:9" ht="12.75">
      <c r="G665" s="34"/>
      <c r="H665" s="53"/>
      <c r="I665" s="81"/>
    </row>
    <row r="666" spans="7:9" ht="12.75">
      <c r="G666" s="34"/>
      <c r="H666" s="53"/>
      <c r="I666" s="81"/>
    </row>
    <row r="667" spans="7:9" ht="12.75">
      <c r="G667" s="34"/>
      <c r="H667" s="53"/>
      <c r="I667" s="81"/>
    </row>
    <row r="668" spans="7:9" ht="12.75">
      <c r="G668" s="34"/>
      <c r="H668" s="53"/>
      <c r="I668" s="81"/>
    </row>
    <row r="669" spans="7:9" ht="12.75">
      <c r="G669" s="34"/>
      <c r="H669" s="53"/>
      <c r="I669" s="81"/>
    </row>
    <row r="670" spans="7:9" ht="12.75">
      <c r="G670" s="34"/>
      <c r="H670" s="53"/>
      <c r="I670" s="81"/>
    </row>
    <row r="671" spans="7:9" ht="12.75">
      <c r="G671" s="34"/>
      <c r="H671" s="53"/>
      <c r="I671" s="81"/>
    </row>
    <row r="672" spans="7:9" ht="12.75">
      <c r="G672" s="34"/>
      <c r="H672" s="53"/>
      <c r="I672" s="81"/>
    </row>
    <row r="673" spans="7:9" ht="12.75">
      <c r="G673" s="34"/>
      <c r="H673" s="53"/>
      <c r="I673" s="81"/>
    </row>
    <row r="674" spans="7:9" ht="12.75">
      <c r="G674" s="34"/>
      <c r="H674" s="53"/>
      <c r="I674" s="81"/>
    </row>
    <row r="675" spans="7:9" ht="12.75">
      <c r="G675" s="34"/>
      <c r="H675" s="53"/>
      <c r="I675" s="81"/>
    </row>
    <row r="676" spans="7:9" ht="12.75">
      <c r="G676" s="34"/>
      <c r="H676" s="53"/>
      <c r="I676" s="81"/>
    </row>
    <row r="677" spans="7:9" ht="12.75">
      <c r="G677" s="34"/>
      <c r="H677" s="53"/>
      <c r="I677" s="81"/>
    </row>
    <row r="678" spans="7:9" ht="12.75">
      <c r="G678" s="34"/>
      <c r="H678" s="53"/>
      <c r="I678" s="81"/>
    </row>
    <row r="679" spans="7:9" ht="12.75">
      <c r="G679" s="34"/>
      <c r="H679" s="53"/>
      <c r="I679" s="81"/>
    </row>
    <row r="680" spans="7:9" ht="12.75">
      <c r="G680" s="34"/>
      <c r="H680" s="53"/>
      <c r="I680" s="81"/>
    </row>
    <row r="681" spans="7:9" ht="12.75">
      <c r="G681" s="34"/>
      <c r="H681" s="53"/>
      <c r="I681" s="81"/>
    </row>
    <row r="682" spans="7:9" ht="12.75">
      <c r="G682" s="34"/>
      <c r="H682" s="53"/>
      <c r="I682" s="81"/>
    </row>
    <row r="683" spans="7:9" ht="12.75">
      <c r="G683" s="34"/>
      <c r="H683" s="53"/>
      <c r="I683" s="81"/>
    </row>
    <row r="684" spans="7:9" ht="12.75">
      <c r="G684" s="34"/>
      <c r="H684" s="53"/>
      <c r="I684" s="81"/>
    </row>
    <row r="685" spans="7:9" ht="12.75">
      <c r="G685" s="34"/>
      <c r="H685" s="53"/>
      <c r="I685" s="81"/>
    </row>
    <row r="686" spans="7:9" ht="12.75">
      <c r="G686" s="34"/>
      <c r="H686" s="53"/>
      <c r="I686" s="81"/>
    </row>
    <row r="687" spans="7:9" ht="12.75">
      <c r="G687" s="34"/>
      <c r="H687" s="53"/>
      <c r="I687" s="81"/>
    </row>
    <row r="688" spans="7:9" ht="12.75">
      <c r="G688" s="34"/>
      <c r="H688" s="53"/>
      <c r="I688" s="81"/>
    </row>
    <row r="689" spans="7:9" ht="12.75">
      <c r="G689" s="34"/>
      <c r="H689" s="53"/>
      <c r="I689" s="81"/>
    </row>
    <row r="690" spans="7:9" ht="12.75">
      <c r="G690" s="34"/>
      <c r="H690" s="53"/>
      <c r="I690" s="81"/>
    </row>
    <row r="691" spans="7:9" ht="12.75">
      <c r="G691" s="34"/>
      <c r="H691" s="53"/>
      <c r="I691" s="81"/>
    </row>
    <row r="692" spans="7:9" ht="12.75">
      <c r="G692" s="34"/>
      <c r="H692" s="53"/>
      <c r="I692" s="81"/>
    </row>
    <row r="693" spans="7:9" ht="12.75">
      <c r="G693" s="34"/>
      <c r="H693" s="53"/>
      <c r="I693" s="81"/>
    </row>
    <row r="694" spans="7:9" ht="12.75">
      <c r="G694" s="34"/>
      <c r="H694" s="53"/>
      <c r="I694" s="81"/>
    </row>
    <row r="695" spans="7:9" ht="12.75">
      <c r="G695" s="34"/>
      <c r="H695" s="53"/>
      <c r="I695" s="81"/>
    </row>
    <row r="696" spans="7:9" ht="12.75">
      <c r="G696" s="34"/>
      <c r="H696" s="53"/>
      <c r="I696" s="81"/>
    </row>
    <row r="697" spans="7:9" ht="12.75">
      <c r="G697" s="34"/>
      <c r="H697" s="53"/>
      <c r="I697" s="81"/>
    </row>
    <row r="698" spans="7:9" ht="12.75">
      <c r="G698" s="34"/>
      <c r="H698" s="53"/>
      <c r="I698" s="81"/>
    </row>
    <row r="699" spans="7:9" ht="12.75">
      <c r="G699" s="34"/>
      <c r="H699" s="53"/>
      <c r="I699" s="81"/>
    </row>
    <row r="700" spans="7:9" ht="12.75">
      <c r="G700" s="34"/>
      <c r="H700" s="53"/>
      <c r="I700" s="81"/>
    </row>
    <row r="701" spans="7:9" ht="12.75">
      <c r="G701" s="34"/>
      <c r="H701" s="53"/>
      <c r="I701" s="81"/>
    </row>
    <row r="702" spans="7:9" ht="12.75">
      <c r="G702" s="34"/>
      <c r="H702" s="53"/>
      <c r="I702" s="81"/>
    </row>
    <row r="703" spans="7:9" ht="12.75">
      <c r="G703" s="34"/>
      <c r="H703" s="53"/>
      <c r="I703" s="81"/>
    </row>
    <row r="704" spans="7:9" ht="12.75">
      <c r="G704" s="34"/>
      <c r="H704" s="53"/>
      <c r="I704" s="81"/>
    </row>
    <row r="705" spans="7:9" ht="12.75">
      <c r="G705" s="34"/>
      <c r="H705" s="53"/>
      <c r="I705" s="81"/>
    </row>
    <row r="706" spans="7:9" ht="12.75">
      <c r="G706" s="34"/>
      <c r="H706" s="53"/>
      <c r="I706" s="81"/>
    </row>
    <row r="707" spans="7:9" ht="12.75">
      <c r="G707" s="34"/>
      <c r="H707" s="53"/>
      <c r="I707" s="81"/>
    </row>
    <row r="708" spans="7:9" ht="12.75">
      <c r="G708" s="34"/>
      <c r="H708" s="53"/>
      <c r="I708" s="81"/>
    </row>
    <row r="709" spans="7:9" ht="12.75">
      <c r="G709" s="34"/>
      <c r="H709" s="53"/>
      <c r="I709" s="81"/>
    </row>
    <row r="710" spans="7:9" ht="12.75">
      <c r="G710" s="34"/>
      <c r="H710" s="53"/>
      <c r="I710" s="81"/>
    </row>
    <row r="711" spans="7:9" ht="12.75">
      <c r="G711" s="34"/>
      <c r="H711" s="53"/>
      <c r="I711" s="81"/>
    </row>
    <row r="712" spans="7:9" ht="12.75">
      <c r="G712" s="34"/>
      <c r="H712" s="53"/>
      <c r="I712" s="81"/>
    </row>
    <row r="713" spans="7:9" ht="12.75">
      <c r="G713" s="34"/>
      <c r="H713" s="53"/>
      <c r="I713" s="81"/>
    </row>
    <row r="714" spans="7:9" ht="12.75">
      <c r="G714" s="34"/>
      <c r="H714" s="53"/>
      <c r="I714" s="81"/>
    </row>
    <row r="715" spans="7:9" ht="12.75">
      <c r="G715" s="34"/>
      <c r="H715" s="53"/>
      <c r="I715" s="81"/>
    </row>
    <row r="716" spans="7:9" ht="12.75">
      <c r="G716" s="34"/>
      <c r="H716" s="53"/>
      <c r="I716" s="81"/>
    </row>
    <row r="717" spans="7:9" ht="12.75">
      <c r="G717" s="34"/>
      <c r="H717" s="53"/>
      <c r="I717" s="81"/>
    </row>
    <row r="718" spans="7:9" ht="12.75">
      <c r="G718" s="34"/>
      <c r="H718" s="53"/>
      <c r="I718" s="81"/>
    </row>
    <row r="719" spans="7:9" ht="12.75">
      <c r="G719" s="34"/>
      <c r="H719" s="53"/>
      <c r="I719" s="81"/>
    </row>
    <row r="720" spans="7:9" ht="12.75">
      <c r="G720" s="34"/>
      <c r="H720" s="53"/>
      <c r="I720" s="81"/>
    </row>
    <row r="721" spans="7:9" ht="12.75">
      <c r="G721" s="34"/>
      <c r="H721" s="53"/>
      <c r="I721" s="81"/>
    </row>
    <row r="722" spans="7:9" ht="12.75">
      <c r="G722" s="34"/>
      <c r="H722" s="53"/>
      <c r="I722" s="81"/>
    </row>
    <row r="723" spans="7:9" ht="12.75">
      <c r="G723" s="34"/>
      <c r="H723" s="53"/>
      <c r="I723" s="81"/>
    </row>
    <row r="724" spans="7:9" ht="12.75">
      <c r="G724" s="34"/>
      <c r="H724" s="53"/>
      <c r="I724" s="81"/>
    </row>
    <row r="725" spans="7:9" ht="12.75">
      <c r="G725" s="34"/>
      <c r="H725" s="53"/>
      <c r="I725" s="81"/>
    </row>
    <row r="726" spans="7:9" ht="12.75">
      <c r="G726" s="34"/>
      <c r="H726" s="53"/>
      <c r="I726" s="81"/>
    </row>
    <row r="727" spans="7:9" ht="12.75">
      <c r="G727" s="34"/>
      <c r="H727" s="53"/>
      <c r="I727" s="81"/>
    </row>
    <row r="728" spans="7:9" ht="12.75">
      <c r="G728" s="34"/>
      <c r="H728" s="53"/>
      <c r="I728" s="81"/>
    </row>
    <row r="729" spans="7:9" ht="12.75">
      <c r="G729" s="34"/>
      <c r="H729" s="53"/>
      <c r="I729" s="81"/>
    </row>
    <row r="730" spans="7:9" ht="12.75">
      <c r="G730" s="34"/>
      <c r="H730" s="53"/>
      <c r="I730" s="81"/>
    </row>
    <row r="731" spans="7:9" ht="12.75">
      <c r="G731" s="34"/>
      <c r="H731" s="53"/>
      <c r="I731" s="81"/>
    </row>
    <row r="732" spans="7:9" ht="12.75">
      <c r="G732" s="34"/>
      <c r="H732" s="53"/>
      <c r="I732" s="81"/>
    </row>
    <row r="733" spans="7:9" ht="12.75">
      <c r="G733" s="34"/>
      <c r="H733" s="53"/>
      <c r="I733" s="81"/>
    </row>
    <row r="734" spans="7:9" ht="12.75">
      <c r="G734" s="34"/>
      <c r="H734" s="53"/>
      <c r="I734" s="81"/>
    </row>
    <row r="735" spans="7:9" ht="12.75">
      <c r="G735" s="34"/>
      <c r="H735" s="53"/>
      <c r="I735" s="81"/>
    </row>
    <row r="736" spans="7:9" ht="12.75">
      <c r="G736" s="34"/>
      <c r="H736" s="53"/>
      <c r="I736" s="81"/>
    </row>
    <row r="737" spans="7:9" ht="12.75">
      <c r="G737" s="34"/>
      <c r="H737" s="53"/>
      <c r="I737" s="81"/>
    </row>
    <row r="738" spans="7:9" ht="12.75">
      <c r="G738" s="34"/>
      <c r="H738" s="53"/>
      <c r="I738" s="81"/>
    </row>
    <row r="739" spans="7:9" ht="12.75">
      <c r="G739" s="34"/>
      <c r="H739" s="53"/>
      <c r="I739" s="81"/>
    </row>
    <row r="740" spans="7:9" ht="12.75">
      <c r="G740" s="34"/>
      <c r="H740" s="53"/>
      <c r="I740" s="81"/>
    </row>
    <row r="741" spans="7:9" ht="12.75">
      <c r="G741" s="34"/>
      <c r="H741" s="53"/>
      <c r="I741" s="81"/>
    </row>
    <row r="742" spans="7:9" ht="12.75">
      <c r="G742" s="34"/>
      <c r="H742" s="53"/>
      <c r="I742" s="81"/>
    </row>
    <row r="743" spans="7:9" ht="12.75">
      <c r="G743" s="34"/>
      <c r="H743" s="53"/>
      <c r="I743" s="81"/>
    </row>
    <row r="744" spans="7:9" ht="12.75">
      <c r="G744" s="34"/>
      <c r="H744" s="53"/>
      <c r="I744" s="81"/>
    </row>
    <row r="745" spans="7:9" ht="12.75">
      <c r="G745" s="34"/>
      <c r="H745" s="53"/>
      <c r="I745" s="81"/>
    </row>
    <row r="746" spans="7:9" ht="12.75">
      <c r="G746" s="34"/>
      <c r="H746" s="53"/>
      <c r="I746" s="81"/>
    </row>
    <row r="747" spans="7:9" ht="12.75">
      <c r="G747" s="34"/>
      <c r="H747" s="53"/>
      <c r="I747" s="81"/>
    </row>
    <row r="748" spans="7:9" ht="12.75">
      <c r="G748" s="34"/>
      <c r="H748" s="53"/>
      <c r="I748" s="81"/>
    </row>
    <row r="749" spans="7:9" ht="12.75">
      <c r="G749" s="34"/>
      <c r="H749" s="53"/>
      <c r="I749" s="81"/>
    </row>
    <row r="750" spans="7:9" ht="12.75">
      <c r="G750" s="34"/>
      <c r="H750" s="53"/>
      <c r="I750" s="81"/>
    </row>
    <row r="751" spans="7:9" ht="12.75">
      <c r="G751" s="34"/>
      <c r="H751" s="53"/>
      <c r="I751" s="81"/>
    </row>
    <row r="752" spans="7:9" ht="12.75">
      <c r="G752" s="34"/>
      <c r="H752" s="53"/>
      <c r="I752" s="81"/>
    </row>
    <row r="753" spans="7:9" ht="12.75">
      <c r="G753" s="34"/>
      <c r="H753" s="53"/>
      <c r="I753" s="81"/>
    </row>
    <row r="754" spans="7:9" ht="12.75">
      <c r="G754" s="34"/>
      <c r="H754" s="53"/>
      <c r="I754" s="81"/>
    </row>
    <row r="755" spans="7:9" ht="12.75">
      <c r="G755" s="34"/>
      <c r="H755" s="53"/>
      <c r="I755" s="81"/>
    </row>
    <row r="756" spans="7:9" ht="12.75">
      <c r="G756" s="34"/>
      <c r="H756" s="53"/>
      <c r="I756" s="81"/>
    </row>
    <row r="757" spans="7:9" ht="12.75">
      <c r="G757" s="34"/>
      <c r="H757" s="53"/>
      <c r="I757" s="81"/>
    </row>
    <row r="758" spans="7:9" ht="12.75">
      <c r="G758" s="34"/>
      <c r="H758" s="53"/>
      <c r="I758" s="81"/>
    </row>
    <row r="759" spans="7:9" ht="12.75">
      <c r="G759" s="34"/>
      <c r="H759" s="53"/>
      <c r="I759" s="81"/>
    </row>
    <row r="760" spans="7:9" ht="12.75">
      <c r="G760" s="34"/>
      <c r="H760" s="53"/>
      <c r="I760" s="81"/>
    </row>
    <row r="761" spans="7:9" ht="12.75">
      <c r="G761" s="34"/>
      <c r="H761" s="53"/>
      <c r="I761" s="81"/>
    </row>
    <row r="762" spans="7:9" ht="12.75">
      <c r="G762" s="34"/>
      <c r="H762" s="53"/>
      <c r="I762" s="81"/>
    </row>
    <row r="763" spans="7:9" ht="12.75">
      <c r="G763" s="34"/>
      <c r="H763" s="53"/>
      <c r="I763" s="81"/>
    </row>
    <row r="764" spans="7:9" ht="12.75">
      <c r="G764" s="34"/>
      <c r="H764" s="53"/>
      <c r="I764" s="81"/>
    </row>
    <row r="765" spans="7:9" ht="12.75">
      <c r="G765" s="34"/>
      <c r="H765" s="53"/>
      <c r="I765" s="81"/>
    </row>
    <row r="766" spans="7:9" ht="12.75">
      <c r="G766" s="34"/>
      <c r="H766" s="53"/>
      <c r="I766" s="81"/>
    </row>
    <row r="767" spans="7:9" ht="12.75">
      <c r="G767" s="34"/>
      <c r="H767" s="53"/>
      <c r="I767" s="81"/>
    </row>
    <row r="768" spans="7:9" ht="12.75">
      <c r="G768" s="34"/>
      <c r="H768" s="53"/>
      <c r="I768" s="81"/>
    </row>
    <row r="769" spans="7:9" ht="12.75">
      <c r="G769" s="34"/>
      <c r="H769" s="53"/>
      <c r="I769" s="81"/>
    </row>
    <row r="770" spans="7:9" ht="12.75">
      <c r="G770" s="34"/>
      <c r="H770" s="53"/>
      <c r="I770" s="81"/>
    </row>
    <row r="771" spans="7:9" ht="12.75">
      <c r="G771" s="34"/>
      <c r="H771" s="53"/>
      <c r="I771" s="81"/>
    </row>
    <row r="772" spans="7:9" ht="12.75">
      <c r="G772" s="34"/>
      <c r="H772" s="53"/>
      <c r="I772" s="81"/>
    </row>
    <row r="773" spans="7:9" ht="12.75">
      <c r="G773" s="34"/>
      <c r="H773" s="53"/>
      <c r="I773" s="81"/>
    </row>
    <row r="774" spans="7:9" ht="12.75">
      <c r="G774" s="34"/>
      <c r="H774" s="53"/>
      <c r="I774" s="81"/>
    </row>
    <row r="775" spans="7:9" ht="12.75">
      <c r="G775" s="34"/>
      <c r="H775" s="53"/>
      <c r="I775" s="81"/>
    </row>
    <row r="776" spans="7:9" ht="12.75">
      <c r="G776" s="34"/>
      <c r="H776" s="53"/>
      <c r="I776" s="81"/>
    </row>
    <row r="777" spans="7:9" ht="12.75">
      <c r="G777" s="34"/>
      <c r="H777" s="53"/>
      <c r="I777" s="81"/>
    </row>
    <row r="778" spans="7:9" ht="12.75">
      <c r="G778" s="34"/>
      <c r="H778" s="53"/>
      <c r="I778" s="81"/>
    </row>
    <row r="779" spans="7:9" ht="12.75">
      <c r="G779" s="34"/>
      <c r="H779" s="53"/>
      <c r="I779" s="81"/>
    </row>
    <row r="780" spans="7:9" ht="12.75">
      <c r="G780" s="34"/>
      <c r="H780" s="53"/>
      <c r="I780" s="81"/>
    </row>
    <row r="781" spans="7:9" ht="12.75">
      <c r="G781" s="34"/>
      <c r="H781" s="53"/>
      <c r="I781" s="81"/>
    </row>
    <row r="782" spans="7:9" ht="12.75">
      <c r="G782" s="34"/>
      <c r="H782" s="53"/>
      <c r="I782" s="81"/>
    </row>
    <row r="783" spans="7:9" ht="12.75">
      <c r="G783" s="34"/>
      <c r="H783" s="53"/>
      <c r="I783" s="81"/>
    </row>
    <row r="784" spans="7:9" ht="12.75">
      <c r="G784" s="34"/>
      <c r="H784" s="53"/>
      <c r="I784" s="81"/>
    </row>
    <row r="785" spans="7:9" ht="12.75">
      <c r="G785" s="34"/>
      <c r="H785" s="53"/>
      <c r="I785" s="81"/>
    </row>
    <row r="786" spans="7:9" ht="12.75">
      <c r="G786" s="34"/>
      <c r="H786" s="53"/>
      <c r="I786" s="81"/>
    </row>
    <row r="787" spans="7:9" ht="12.75">
      <c r="G787" s="34"/>
      <c r="H787" s="53"/>
      <c r="I787" s="81"/>
    </row>
    <row r="788" spans="7:9" ht="12.75">
      <c r="G788" s="34"/>
      <c r="H788" s="53"/>
      <c r="I788" s="81"/>
    </row>
    <row r="789" spans="7:9" ht="12.75">
      <c r="G789" s="34"/>
      <c r="H789" s="53"/>
      <c r="I789" s="81"/>
    </row>
    <row r="790" spans="7:9" ht="12.75">
      <c r="G790" s="34"/>
      <c r="H790" s="53"/>
      <c r="I790" s="81"/>
    </row>
    <row r="791" spans="7:9" ht="12.75">
      <c r="G791" s="34"/>
      <c r="H791" s="53"/>
      <c r="I791" s="81"/>
    </row>
    <row r="792" spans="7:9" ht="12.75">
      <c r="G792" s="34"/>
      <c r="H792" s="53"/>
      <c r="I792" s="81"/>
    </row>
    <row r="793" spans="7:9" ht="12.75">
      <c r="G793" s="34"/>
      <c r="H793" s="53"/>
      <c r="I793" s="81"/>
    </row>
    <row r="794" spans="7:9" ht="12.75">
      <c r="G794" s="34"/>
      <c r="H794" s="53"/>
      <c r="I794" s="81"/>
    </row>
    <row r="795" spans="7:9" ht="12.75">
      <c r="G795" s="34"/>
      <c r="H795" s="53"/>
      <c r="I795" s="81"/>
    </row>
    <row r="796" spans="7:9" ht="12.75">
      <c r="G796" s="34"/>
      <c r="H796" s="53"/>
      <c r="I796" s="81"/>
    </row>
    <row r="797" spans="7:9" ht="12.75">
      <c r="G797" s="34"/>
      <c r="H797" s="53"/>
      <c r="I797" s="81"/>
    </row>
    <row r="798" spans="7:9" ht="12.75">
      <c r="G798" s="34"/>
      <c r="H798" s="53"/>
      <c r="I798" s="81"/>
    </row>
    <row r="799" spans="7:9" ht="12.75">
      <c r="G799" s="34"/>
      <c r="H799" s="53"/>
      <c r="I799" s="81"/>
    </row>
    <row r="800" spans="7:9" ht="12.75">
      <c r="G800" s="34"/>
      <c r="H800" s="53"/>
      <c r="I800" s="81"/>
    </row>
    <row r="801" spans="7:9" ht="12.75">
      <c r="G801" s="34"/>
      <c r="H801" s="53"/>
      <c r="I801" s="81"/>
    </row>
    <row r="802" spans="7:9" ht="12.75">
      <c r="G802" s="34"/>
      <c r="H802" s="53"/>
      <c r="I802" s="81"/>
    </row>
    <row r="803" spans="7:9" ht="12.75">
      <c r="G803" s="34"/>
      <c r="H803" s="53"/>
      <c r="I803" s="81"/>
    </row>
    <row r="804" spans="7:9" ht="12.75">
      <c r="G804" s="34"/>
      <c r="H804" s="53"/>
      <c r="I804" s="81"/>
    </row>
    <row r="805" spans="7:9" ht="12.75">
      <c r="G805" s="34"/>
      <c r="H805" s="53"/>
      <c r="I805" s="81"/>
    </row>
    <row r="806" spans="7:9" ht="12.75">
      <c r="G806" s="34"/>
      <c r="H806" s="53"/>
      <c r="I806" s="81"/>
    </row>
    <row r="807" spans="7:9" ht="12.75">
      <c r="G807" s="34"/>
      <c r="H807" s="53"/>
      <c r="I807" s="81"/>
    </row>
    <row r="808" spans="7:9" ht="12.75">
      <c r="G808" s="34"/>
      <c r="H808" s="53"/>
      <c r="I808" s="81"/>
    </row>
    <row r="809" spans="7:9" ht="12.75">
      <c r="G809" s="34"/>
      <c r="H809" s="53"/>
      <c r="I809" s="81"/>
    </row>
    <row r="810" spans="7:9" ht="12.75">
      <c r="G810" s="34"/>
      <c r="H810" s="53"/>
      <c r="I810" s="81"/>
    </row>
    <row r="811" spans="7:9" ht="12.75">
      <c r="G811" s="34"/>
      <c r="H811" s="53"/>
      <c r="I811" s="81"/>
    </row>
    <row r="812" spans="7:9" ht="12.75">
      <c r="G812" s="34"/>
      <c r="H812" s="53"/>
      <c r="I812" s="81"/>
    </row>
    <row r="813" spans="7:9" ht="12.75">
      <c r="G813" s="34"/>
      <c r="H813" s="53"/>
      <c r="I813" s="81"/>
    </row>
    <row r="814" spans="7:9" ht="12.75">
      <c r="G814" s="34"/>
      <c r="H814" s="53"/>
      <c r="I814" s="81"/>
    </row>
    <row r="815" spans="7:9" ht="12.75">
      <c r="G815" s="34"/>
      <c r="H815" s="53"/>
      <c r="I815" s="81"/>
    </row>
    <row r="816" spans="7:9" ht="12.75">
      <c r="G816" s="34"/>
      <c r="H816" s="53"/>
      <c r="I816" s="81"/>
    </row>
    <row r="817" spans="7:9" ht="12.75">
      <c r="G817" s="34"/>
      <c r="H817" s="53"/>
      <c r="I817" s="81"/>
    </row>
    <row r="818" spans="7:9" ht="12.75">
      <c r="G818" s="34"/>
      <c r="H818" s="53"/>
      <c r="I818" s="81"/>
    </row>
    <row r="819" spans="7:9" ht="12.75">
      <c r="G819" s="34"/>
      <c r="H819" s="53"/>
      <c r="I819" s="81"/>
    </row>
    <row r="820" spans="7:9" ht="12.75">
      <c r="G820" s="34"/>
      <c r="H820" s="53"/>
      <c r="I820" s="81"/>
    </row>
    <row r="821" spans="7:9" ht="12.75">
      <c r="G821" s="34"/>
      <c r="H821" s="53"/>
      <c r="I821" s="81"/>
    </row>
    <row r="822" spans="7:9" ht="12.75">
      <c r="G822" s="34"/>
      <c r="H822" s="53"/>
      <c r="I822" s="81"/>
    </row>
    <row r="823" spans="7:9" ht="12.75">
      <c r="G823" s="34"/>
      <c r="H823" s="53"/>
      <c r="I823" s="81"/>
    </row>
    <row r="824" spans="7:9" ht="12.75">
      <c r="G824" s="34"/>
      <c r="H824" s="53"/>
      <c r="I824" s="81"/>
    </row>
    <row r="825" spans="7:9" ht="12.75">
      <c r="G825" s="34"/>
      <c r="H825" s="53"/>
      <c r="I825" s="81"/>
    </row>
    <row r="826" spans="7:9" ht="12.75">
      <c r="G826" s="34"/>
      <c r="H826" s="53"/>
      <c r="I826" s="81"/>
    </row>
    <row r="827" spans="7:9" ht="12.75">
      <c r="G827" s="34"/>
      <c r="H827" s="53"/>
      <c r="I827" s="81"/>
    </row>
    <row r="828" spans="7:9" ht="12.75">
      <c r="G828" s="34"/>
      <c r="H828" s="53"/>
      <c r="I828" s="81"/>
    </row>
    <row r="829" spans="7:9" ht="12.75">
      <c r="G829" s="34"/>
      <c r="H829" s="53"/>
      <c r="I829" s="81"/>
    </row>
    <row r="830" spans="7:9" ht="12.75">
      <c r="G830" s="34"/>
      <c r="H830" s="53"/>
      <c r="I830" s="81"/>
    </row>
    <row r="831" spans="7:9" ht="12.75">
      <c r="G831" s="34"/>
      <c r="H831" s="53"/>
      <c r="I831" s="81"/>
    </row>
    <row r="832" spans="7:9" ht="12.75">
      <c r="G832" s="34"/>
      <c r="H832" s="53"/>
      <c r="I832" s="81"/>
    </row>
    <row r="833" spans="7:9" ht="12.75">
      <c r="G833" s="34"/>
      <c r="H833" s="53"/>
      <c r="I833" s="81"/>
    </row>
    <row r="834" spans="7:9" ht="12.75">
      <c r="G834" s="34"/>
      <c r="H834" s="53"/>
      <c r="I834" s="81"/>
    </row>
    <row r="835" spans="7:9" ht="12.75">
      <c r="G835" s="34"/>
      <c r="H835" s="53"/>
      <c r="I835" s="81"/>
    </row>
    <row r="836" spans="7:9" ht="12.75">
      <c r="G836" s="34"/>
      <c r="H836" s="53"/>
      <c r="I836" s="81"/>
    </row>
    <row r="837" spans="7:9" ht="12.75">
      <c r="G837" s="34"/>
      <c r="H837" s="53"/>
      <c r="I837" s="81"/>
    </row>
    <row r="838" spans="7:9" ht="12.75">
      <c r="G838" s="34"/>
      <c r="H838" s="53"/>
      <c r="I838" s="81"/>
    </row>
    <row r="839" spans="7:9" ht="12.75">
      <c r="G839" s="34"/>
      <c r="H839" s="53"/>
      <c r="I839" s="81"/>
    </row>
    <row r="840" spans="7:9" ht="12.75">
      <c r="G840" s="34"/>
      <c r="H840" s="53"/>
      <c r="I840" s="81"/>
    </row>
    <row r="841" spans="7:9" ht="12.75">
      <c r="G841" s="34"/>
      <c r="H841" s="53"/>
      <c r="I841" s="81"/>
    </row>
    <row r="842" spans="7:9" ht="12.75">
      <c r="G842" s="34"/>
      <c r="H842" s="53"/>
      <c r="I842" s="81"/>
    </row>
    <row r="843" spans="7:9" ht="12.75">
      <c r="G843" s="34"/>
      <c r="H843" s="53"/>
      <c r="I843" s="81"/>
    </row>
    <row r="844" spans="7:9" ht="12.75">
      <c r="G844" s="34"/>
      <c r="H844" s="53"/>
      <c r="I844" s="81"/>
    </row>
    <row r="845" spans="7:9" ht="12.75">
      <c r="G845" s="34"/>
      <c r="H845" s="53"/>
      <c r="I845" s="81"/>
    </row>
    <row r="846" spans="7:9" ht="12.75">
      <c r="G846" s="34"/>
      <c r="H846" s="53"/>
      <c r="I846" s="81"/>
    </row>
    <row r="847" spans="7:9" ht="12.75">
      <c r="G847" s="34"/>
      <c r="H847" s="53"/>
      <c r="I847" s="81"/>
    </row>
    <row r="848" spans="7:9" ht="12.75">
      <c r="G848" s="34"/>
      <c r="H848" s="53"/>
      <c r="I848" s="81"/>
    </row>
    <row r="849" spans="7:9" ht="12.75">
      <c r="G849" s="34"/>
      <c r="H849" s="53"/>
      <c r="I849" s="81"/>
    </row>
    <row r="850" spans="7:9" ht="12.75">
      <c r="G850" s="34"/>
      <c r="H850" s="53"/>
      <c r="I850" s="81"/>
    </row>
    <row r="851" spans="7:9" ht="12.75">
      <c r="G851" s="34"/>
      <c r="H851" s="53"/>
      <c r="I851" s="81"/>
    </row>
    <row r="852" spans="7:9" ht="12.75">
      <c r="G852" s="34"/>
      <c r="H852" s="53"/>
      <c r="I852" s="81"/>
    </row>
    <row r="853" spans="7:9" ht="12.75">
      <c r="G853" s="34"/>
      <c r="H853" s="53"/>
      <c r="I853" s="81"/>
    </row>
    <row r="854" spans="7:9" ht="12.75">
      <c r="G854" s="34"/>
      <c r="H854" s="53"/>
      <c r="I854" s="81"/>
    </row>
    <row r="855" spans="7:9" ht="12.75">
      <c r="G855" s="34"/>
      <c r="H855" s="53"/>
      <c r="I855" s="81"/>
    </row>
    <row r="856" spans="7:9" ht="12.75">
      <c r="G856" s="34"/>
      <c r="H856" s="53"/>
      <c r="I856" s="81"/>
    </row>
    <row r="857" spans="7:9" ht="12.75">
      <c r="G857" s="34"/>
      <c r="H857" s="53"/>
      <c r="I857" s="81"/>
    </row>
    <row r="858" spans="7:9" ht="12.75">
      <c r="G858" s="34"/>
      <c r="H858" s="53"/>
      <c r="I858" s="81"/>
    </row>
    <row r="859" spans="7:9" ht="12.75">
      <c r="G859" s="34"/>
      <c r="H859" s="53"/>
      <c r="I859" s="81"/>
    </row>
    <row r="860" spans="7:9" ht="12.75">
      <c r="G860" s="34"/>
      <c r="H860" s="53"/>
      <c r="I860" s="81"/>
    </row>
    <row r="861" spans="7:9" ht="12.75">
      <c r="G861" s="34"/>
      <c r="H861" s="53"/>
      <c r="I861" s="81"/>
    </row>
    <row r="862" spans="7:9" ht="12.75">
      <c r="G862" s="34"/>
      <c r="H862" s="53"/>
      <c r="I862" s="81"/>
    </row>
    <row r="863" spans="7:9" ht="12.75">
      <c r="G863" s="34"/>
      <c r="H863" s="53"/>
      <c r="I863" s="81"/>
    </row>
    <row r="864" spans="7:9" ht="12.75">
      <c r="G864" s="34"/>
      <c r="H864" s="53"/>
      <c r="I864" s="81"/>
    </row>
    <row r="865" spans="7:9" ht="12.75">
      <c r="G865" s="34"/>
      <c r="H865" s="53"/>
      <c r="I865" s="81"/>
    </row>
    <row r="866" spans="7:9" ht="12.75">
      <c r="G866" s="34"/>
      <c r="H866" s="53"/>
      <c r="I866" s="81"/>
    </row>
    <row r="867" spans="7:9" ht="12.75">
      <c r="G867" s="34"/>
      <c r="H867" s="53"/>
      <c r="I867" s="81"/>
    </row>
    <row r="868" spans="7:9" ht="12.75">
      <c r="G868" s="34"/>
      <c r="H868" s="53"/>
      <c r="I868" s="81"/>
    </row>
    <row r="869" spans="7:9" ht="12.75">
      <c r="G869" s="34"/>
      <c r="H869" s="53"/>
      <c r="I869" s="81"/>
    </row>
    <row r="870" spans="7:9" ht="12.75">
      <c r="G870" s="34"/>
      <c r="H870" s="53"/>
      <c r="I870" s="81"/>
    </row>
    <row r="871" spans="7:9" ht="12.75">
      <c r="G871" s="34"/>
      <c r="H871" s="53"/>
      <c r="I871" s="81"/>
    </row>
    <row r="872" spans="7:9" ht="12.75">
      <c r="G872" s="34"/>
      <c r="H872" s="53"/>
      <c r="I872" s="81"/>
    </row>
    <row r="873" spans="7:9" ht="12.75">
      <c r="G873" s="34"/>
      <c r="H873" s="53"/>
      <c r="I873" s="81"/>
    </row>
    <row r="874" spans="7:9" ht="12.75">
      <c r="G874" s="34"/>
      <c r="H874" s="53"/>
      <c r="I874" s="81"/>
    </row>
    <row r="875" spans="7:9" ht="12.75">
      <c r="G875" s="34"/>
      <c r="H875" s="53"/>
      <c r="I875" s="81"/>
    </row>
    <row r="876" spans="7:9" ht="12.75">
      <c r="G876" s="34"/>
      <c r="H876" s="53"/>
      <c r="I876" s="81"/>
    </row>
    <row r="877" spans="7:9" ht="12.75">
      <c r="G877" s="34"/>
      <c r="H877" s="53"/>
      <c r="I877" s="81"/>
    </row>
    <row r="878" spans="7:9" ht="12.75">
      <c r="G878" s="34"/>
      <c r="H878" s="53"/>
      <c r="I878" s="81"/>
    </row>
    <row r="879" spans="7:9" ht="12.75">
      <c r="G879" s="34"/>
      <c r="H879" s="53"/>
      <c r="I879" s="81"/>
    </row>
    <row r="880" spans="7:9" ht="12.75">
      <c r="G880" s="34"/>
      <c r="H880" s="53"/>
      <c r="I880" s="81"/>
    </row>
    <row r="881" spans="7:9" ht="12.75">
      <c r="G881" s="34"/>
      <c r="H881" s="53"/>
      <c r="I881" s="81"/>
    </row>
    <row r="882" spans="7:9" ht="12.75">
      <c r="G882" s="34"/>
      <c r="H882" s="53"/>
      <c r="I882" s="81"/>
    </row>
    <row r="883" spans="7:9" ht="12.75">
      <c r="G883" s="34"/>
      <c r="H883" s="53"/>
      <c r="I883" s="81"/>
    </row>
    <row r="884" spans="7:9" ht="12.75">
      <c r="G884" s="34"/>
      <c r="H884" s="53"/>
      <c r="I884" s="81"/>
    </row>
    <row r="885" spans="7:9" ht="12.75">
      <c r="G885" s="34"/>
      <c r="H885" s="53"/>
      <c r="I885" s="81"/>
    </row>
    <row r="886" spans="7:9" ht="12.75">
      <c r="G886" s="34"/>
      <c r="H886" s="53"/>
      <c r="I886" s="81"/>
    </row>
    <row r="887" spans="7:9" ht="12.75">
      <c r="G887" s="34"/>
      <c r="H887" s="53"/>
      <c r="I887" s="81"/>
    </row>
    <row r="888" spans="7:9" ht="12.75">
      <c r="G888" s="34"/>
      <c r="H888" s="53"/>
      <c r="I888" s="81"/>
    </row>
    <row r="889" spans="7:9" ht="12.75">
      <c r="G889" s="34"/>
      <c r="H889" s="53"/>
      <c r="I889" s="81"/>
    </row>
    <row r="890" spans="7:9" ht="12.75">
      <c r="G890" s="34"/>
      <c r="H890" s="53"/>
      <c r="I890" s="81"/>
    </row>
    <row r="891" spans="7:9" ht="12.75">
      <c r="G891" s="34"/>
      <c r="H891" s="53"/>
      <c r="I891" s="81"/>
    </row>
    <row r="892" spans="7:9" ht="12.75">
      <c r="G892" s="34"/>
      <c r="H892" s="53"/>
      <c r="I892" s="81"/>
    </row>
    <row r="893" spans="7:9" ht="12.75">
      <c r="G893" s="34"/>
      <c r="H893" s="53"/>
      <c r="I893" s="81"/>
    </row>
    <row r="894" spans="7:9" ht="12.75">
      <c r="G894" s="34"/>
      <c r="H894" s="53"/>
      <c r="I894" s="81"/>
    </row>
    <row r="895" spans="7:9" ht="12.75">
      <c r="G895" s="34"/>
      <c r="H895" s="53"/>
      <c r="I895" s="81"/>
    </row>
    <row r="896" spans="7:9" ht="12.75">
      <c r="G896" s="34"/>
      <c r="H896" s="53"/>
      <c r="I896" s="81"/>
    </row>
    <row r="897" spans="7:9" ht="12.75">
      <c r="G897" s="34"/>
      <c r="H897" s="53"/>
      <c r="I897" s="81"/>
    </row>
    <row r="898" spans="7:9" ht="12.75">
      <c r="G898" s="34"/>
      <c r="H898" s="53"/>
      <c r="I898" s="81"/>
    </row>
    <row r="899" spans="7:9" ht="12.75">
      <c r="G899" s="34"/>
      <c r="H899" s="53"/>
      <c r="I899" s="81"/>
    </row>
    <row r="900" spans="7:9" ht="12.75">
      <c r="G900" s="34"/>
      <c r="H900" s="53"/>
      <c r="I900" s="81"/>
    </row>
    <row r="901" spans="7:9" ht="12.75">
      <c r="G901" s="34"/>
      <c r="H901" s="53"/>
      <c r="I901" s="81"/>
    </row>
    <row r="902" spans="7:9" ht="12.75">
      <c r="G902" s="34"/>
      <c r="H902" s="53"/>
      <c r="I902" s="81"/>
    </row>
    <row r="903" spans="7:9" ht="12.75">
      <c r="G903" s="34"/>
      <c r="H903" s="53"/>
      <c r="I903" s="81"/>
    </row>
    <row r="904" spans="7:9" ht="12.75">
      <c r="G904" s="34"/>
      <c r="H904" s="53"/>
      <c r="I904" s="81"/>
    </row>
    <row r="905" spans="7:9" ht="12.75">
      <c r="G905" s="34"/>
      <c r="H905" s="53"/>
      <c r="I905" s="81"/>
    </row>
    <row r="906" spans="7:9" ht="12.75">
      <c r="G906" s="34"/>
      <c r="H906" s="53"/>
      <c r="I906" s="81"/>
    </row>
    <row r="907" spans="7:9" ht="12.75">
      <c r="G907" s="34"/>
      <c r="H907" s="53"/>
      <c r="I907" s="81"/>
    </row>
    <row r="908" spans="7:9" ht="12.75">
      <c r="G908" s="34"/>
      <c r="H908" s="53"/>
      <c r="I908" s="81"/>
    </row>
    <row r="909" spans="7:9" ht="12.75">
      <c r="G909" s="34"/>
      <c r="H909" s="53"/>
      <c r="I909" s="81"/>
    </row>
    <row r="910" spans="7:9" ht="12.75">
      <c r="G910" s="34"/>
      <c r="H910" s="53"/>
      <c r="I910" s="81"/>
    </row>
    <row r="911" spans="7:9" ht="12.75">
      <c r="G911" s="34"/>
      <c r="H911" s="53"/>
      <c r="I911" s="81"/>
    </row>
    <row r="912" spans="7:9" ht="12.75">
      <c r="G912" s="34"/>
      <c r="H912" s="53"/>
      <c r="I912" s="81"/>
    </row>
    <row r="913" spans="7:9" ht="12.75">
      <c r="G913" s="34"/>
      <c r="H913" s="53"/>
      <c r="I913" s="81"/>
    </row>
    <row r="914" spans="7:9" ht="12.75">
      <c r="G914" s="34"/>
      <c r="H914" s="53"/>
      <c r="I914" s="81"/>
    </row>
    <row r="915" spans="7:9" ht="12.75">
      <c r="G915" s="34"/>
      <c r="H915" s="53"/>
      <c r="I915" s="81"/>
    </row>
    <row r="916" spans="7:9" ht="12.75">
      <c r="G916" s="34"/>
      <c r="H916" s="53"/>
      <c r="I916" s="81"/>
    </row>
    <row r="917" spans="7:9" ht="12.75">
      <c r="G917" s="34"/>
      <c r="H917" s="53"/>
      <c r="I917" s="81"/>
    </row>
    <row r="918" spans="7:9" ht="12.75">
      <c r="G918" s="34"/>
      <c r="H918" s="53"/>
      <c r="I918" s="81"/>
    </row>
    <row r="919" spans="7:9" ht="12.75">
      <c r="G919" s="34"/>
      <c r="H919" s="53"/>
      <c r="I919" s="81"/>
    </row>
    <row r="920" spans="7:9" ht="12.75">
      <c r="G920" s="34"/>
      <c r="H920" s="53"/>
      <c r="I920" s="81"/>
    </row>
    <row r="921" spans="7:9" ht="12.75">
      <c r="G921" s="34"/>
      <c r="H921" s="53"/>
      <c r="I921" s="81"/>
    </row>
    <row r="922" spans="7:9" ht="12.75">
      <c r="G922" s="34"/>
      <c r="H922" s="53"/>
      <c r="I922" s="81"/>
    </row>
    <row r="923" spans="7:9" ht="12.75">
      <c r="G923" s="34"/>
      <c r="H923" s="53"/>
      <c r="I923" s="81"/>
    </row>
    <row r="924" spans="7:9" ht="12.75">
      <c r="G924" s="34"/>
      <c r="H924" s="53"/>
      <c r="I924" s="81"/>
    </row>
    <row r="925" spans="7:9" ht="12.75">
      <c r="G925" s="34"/>
      <c r="H925" s="53"/>
      <c r="I925" s="81"/>
    </row>
    <row r="926" spans="7:9" ht="12.75">
      <c r="G926" s="34"/>
      <c r="H926" s="53"/>
      <c r="I926" s="81"/>
    </row>
    <row r="927" spans="7:9" ht="12.75">
      <c r="G927" s="34"/>
      <c r="H927" s="53"/>
      <c r="I927" s="81"/>
    </row>
    <row r="928" spans="7:9" ht="12.75">
      <c r="G928" s="34"/>
      <c r="H928" s="53"/>
      <c r="I928" s="81"/>
    </row>
    <row r="929" spans="7:9" ht="12.75">
      <c r="G929" s="34"/>
      <c r="H929" s="53"/>
      <c r="I929" s="81"/>
    </row>
    <row r="930" spans="7:9" ht="12.75">
      <c r="G930" s="34"/>
      <c r="H930" s="53"/>
      <c r="I930" s="81"/>
    </row>
    <row r="931" spans="7:9" ht="12.75">
      <c r="G931" s="34"/>
      <c r="H931" s="53"/>
      <c r="I931" s="81"/>
    </row>
    <row r="932" spans="7:9" ht="12.75">
      <c r="G932" s="34"/>
      <c r="H932" s="53"/>
      <c r="I932" s="81"/>
    </row>
    <row r="933" spans="7:9" ht="12.75">
      <c r="G933" s="34"/>
      <c r="H933" s="53"/>
      <c r="I933" s="81"/>
    </row>
    <row r="934" spans="7:9" ht="12.75">
      <c r="G934" s="34"/>
      <c r="H934" s="53"/>
      <c r="I934" s="81"/>
    </row>
    <row r="935" spans="7:9" ht="12.75">
      <c r="G935" s="34"/>
      <c r="H935" s="53"/>
      <c r="I935" s="81"/>
    </row>
    <row r="936" spans="7:9" ht="12.75">
      <c r="G936" s="34"/>
      <c r="H936" s="53"/>
      <c r="I936" s="81"/>
    </row>
    <row r="937" spans="7:9" ht="12.75">
      <c r="G937" s="34"/>
      <c r="H937" s="53"/>
      <c r="I937" s="81"/>
    </row>
    <row r="938" spans="7:9" ht="12.75">
      <c r="G938" s="34"/>
      <c r="H938" s="53"/>
      <c r="I938" s="81"/>
    </row>
    <row r="939" spans="7:9" ht="12.75">
      <c r="G939" s="34"/>
      <c r="H939" s="53"/>
      <c r="I939" s="81"/>
    </row>
    <row r="940" spans="7:9" ht="12.75">
      <c r="G940" s="34"/>
      <c r="H940" s="53"/>
      <c r="I940" s="81"/>
    </row>
    <row r="941" spans="7:9" ht="12.75">
      <c r="G941" s="34"/>
      <c r="H941" s="53"/>
      <c r="I941" s="81"/>
    </row>
    <row r="942" spans="7:9" ht="12.75">
      <c r="G942" s="34"/>
      <c r="H942" s="53"/>
      <c r="I942" s="81"/>
    </row>
    <row r="943" spans="7:9" ht="12.75">
      <c r="G943" s="34"/>
      <c r="H943" s="53"/>
      <c r="I943" s="81"/>
    </row>
    <row r="944" spans="7:9" ht="12.75">
      <c r="G944" s="34"/>
      <c r="H944" s="53"/>
      <c r="I944" s="81"/>
    </row>
    <row r="945" spans="7:9" ht="12.75">
      <c r="G945" s="34"/>
      <c r="H945" s="53"/>
      <c r="I945" s="81"/>
    </row>
    <row r="946" spans="7:9" ht="12.75">
      <c r="G946" s="34"/>
      <c r="H946" s="53"/>
      <c r="I946" s="81"/>
    </row>
    <row r="947" spans="7:9" ht="12.75">
      <c r="G947" s="34"/>
      <c r="H947" s="53"/>
      <c r="I947" s="81"/>
    </row>
    <row r="948" spans="7:9" ht="12.75">
      <c r="G948" s="34"/>
      <c r="H948" s="53"/>
      <c r="I948" s="81"/>
    </row>
    <row r="949" spans="7:9" ht="12.75">
      <c r="G949" s="34"/>
      <c r="H949" s="53"/>
      <c r="I949" s="81"/>
    </row>
    <row r="950" spans="7:9" ht="12.75">
      <c r="G950" s="34"/>
      <c r="H950" s="53"/>
      <c r="I950" s="81"/>
    </row>
    <row r="951" spans="7:9" ht="12.75">
      <c r="G951" s="34"/>
      <c r="H951" s="53"/>
      <c r="I951" s="81"/>
    </row>
    <row r="952" spans="7:9" ht="12.75">
      <c r="G952" s="34"/>
      <c r="H952" s="53"/>
      <c r="I952" s="81"/>
    </row>
    <row r="953" spans="7:9" ht="12.75">
      <c r="G953" s="34"/>
      <c r="H953" s="53"/>
      <c r="I953" s="81"/>
    </row>
    <row r="954" spans="7:9" ht="12.75">
      <c r="G954" s="34"/>
      <c r="H954" s="53"/>
      <c r="I954" s="81"/>
    </row>
    <row r="955" spans="7:9" ht="12.75">
      <c r="G955" s="34"/>
      <c r="H955" s="53"/>
      <c r="I955" s="81"/>
    </row>
    <row r="956" spans="7:9" ht="12.75">
      <c r="G956" s="34"/>
      <c r="H956" s="53"/>
      <c r="I956" s="81"/>
    </row>
    <row r="957" spans="7:9" ht="12.75">
      <c r="G957" s="34"/>
      <c r="H957" s="53"/>
      <c r="I957" s="81"/>
    </row>
    <row r="958" spans="7:9" ht="12.75">
      <c r="G958" s="34"/>
      <c r="H958" s="53"/>
      <c r="I958" s="81"/>
    </row>
    <row r="959" spans="7:9" ht="12.75">
      <c r="G959" s="34"/>
      <c r="H959" s="53"/>
      <c r="I959" s="81"/>
    </row>
    <row r="960" spans="7:9" ht="12.75">
      <c r="G960" s="34"/>
      <c r="H960" s="53"/>
      <c r="I960" s="81"/>
    </row>
    <row r="961" spans="7:9" ht="12.75">
      <c r="G961" s="34"/>
      <c r="H961" s="53"/>
      <c r="I961" s="81"/>
    </row>
    <row r="962" spans="7:9" ht="12.75">
      <c r="G962" s="34"/>
      <c r="H962" s="53"/>
      <c r="I962" s="81"/>
    </row>
    <row r="963" spans="7:9" ht="12.75">
      <c r="G963" s="34"/>
      <c r="H963" s="53"/>
      <c r="I963" s="81"/>
    </row>
    <row r="964" spans="7:9" ht="12.75">
      <c r="G964" s="34"/>
      <c r="H964" s="53"/>
      <c r="I964" s="81"/>
    </row>
    <row r="965" spans="7:9" ht="12.75">
      <c r="G965" s="34"/>
      <c r="H965" s="53"/>
      <c r="I965" s="81"/>
    </row>
    <row r="966" spans="7:9" ht="12.75">
      <c r="G966" s="34"/>
      <c r="H966" s="53"/>
      <c r="I966" s="81"/>
    </row>
    <row r="967" spans="7:9" ht="12.75">
      <c r="G967" s="34"/>
      <c r="H967" s="53"/>
      <c r="I967" s="81"/>
    </row>
    <row r="968" spans="7:9" ht="12.75">
      <c r="G968" s="34"/>
      <c r="H968" s="53"/>
      <c r="I968" s="81"/>
    </row>
    <row r="969" spans="7:9" ht="12.75">
      <c r="G969" s="34"/>
      <c r="H969" s="53"/>
      <c r="I969" s="81"/>
    </row>
    <row r="970" spans="7:9" ht="12.75">
      <c r="G970" s="34"/>
      <c r="H970" s="53"/>
      <c r="I970" s="81"/>
    </row>
    <row r="971" spans="7:9" ht="12.75">
      <c r="G971" s="34"/>
      <c r="H971" s="53"/>
      <c r="I971" s="81"/>
    </row>
    <row r="972" spans="7:9" ht="12.75">
      <c r="G972" s="34"/>
      <c r="H972" s="53"/>
      <c r="I972" s="81"/>
    </row>
    <row r="973" spans="7:9" ht="12.75">
      <c r="G973" s="34"/>
      <c r="H973" s="53"/>
      <c r="I973" s="81"/>
    </row>
    <row r="974" spans="7:9" ht="12.75">
      <c r="G974" s="34"/>
      <c r="H974" s="53"/>
      <c r="I974" s="81"/>
    </row>
    <row r="975" spans="7:9" ht="12.75">
      <c r="G975" s="34"/>
      <c r="H975" s="53"/>
      <c r="I975" s="81"/>
    </row>
    <row r="976" spans="7:9" ht="12.75">
      <c r="G976" s="34"/>
      <c r="H976" s="53"/>
      <c r="I976" s="81"/>
    </row>
    <row r="977" spans="7:9" ht="12.75">
      <c r="G977" s="34"/>
      <c r="H977" s="53"/>
      <c r="I977" s="81"/>
    </row>
    <row r="978" spans="7:9" ht="12.75">
      <c r="G978" s="34"/>
      <c r="H978" s="53"/>
      <c r="I978" s="81"/>
    </row>
    <row r="979" spans="7:9" ht="12.75">
      <c r="G979" s="34"/>
      <c r="H979" s="53"/>
      <c r="I979" s="81"/>
    </row>
    <row r="980" spans="7:9" ht="12.75">
      <c r="G980" s="34"/>
      <c r="H980" s="53"/>
      <c r="I980" s="81"/>
    </row>
    <row r="981" spans="7:9" ht="12.75">
      <c r="G981" s="34"/>
      <c r="H981" s="53"/>
      <c r="I981" s="81"/>
    </row>
    <row r="982" spans="7:9" ht="12.75">
      <c r="G982" s="34"/>
      <c r="H982" s="53"/>
      <c r="I982" s="81"/>
    </row>
    <row r="983" spans="7:9" ht="12.75">
      <c r="G983" s="34"/>
      <c r="H983" s="53"/>
      <c r="I983" s="81"/>
    </row>
    <row r="984" spans="7:9" ht="12.75">
      <c r="G984" s="34"/>
      <c r="H984" s="53"/>
      <c r="I984" s="81"/>
    </row>
    <row r="985" spans="7:9" ht="12.75">
      <c r="G985" s="34"/>
      <c r="H985" s="53"/>
      <c r="I985" s="81"/>
    </row>
    <row r="986" spans="7:9" ht="12.75">
      <c r="G986" s="34"/>
      <c r="H986" s="53"/>
      <c r="I986" s="81"/>
    </row>
    <row r="987" spans="7:9" ht="12.75">
      <c r="G987" s="34"/>
      <c r="H987" s="53"/>
      <c r="I987" s="81"/>
    </row>
    <row r="988" spans="7:9" ht="12.75">
      <c r="G988" s="34"/>
      <c r="H988" s="53"/>
      <c r="I988" s="81"/>
    </row>
    <row r="989" spans="7:9" ht="12.75">
      <c r="G989" s="34"/>
      <c r="H989" s="53"/>
      <c r="I989" s="81"/>
    </row>
    <row r="990" spans="7:9" ht="12.75">
      <c r="G990" s="34"/>
      <c r="H990" s="53"/>
      <c r="I990" s="81"/>
    </row>
    <row r="991" spans="7:9" ht="12.75">
      <c r="G991" s="34"/>
      <c r="H991" s="53"/>
      <c r="I991" s="81"/>
    </row>
    <row r="992" spans="7:9" ht="12.75">
      <c r="G992" s="34"/>
      <c r="H992" s="53"/>
      <c r="I992" s="81"/>
    </row>
    <row r="993" spans="7:9" ht="12.75">
      <c r="G993" s="34"/>
      <c r="H993" s="53"/>
      <c r="I993" s="81"/>
    </row>
    <row r="994" spans="7:9" ht="12.75">
      <c r="G994" s="34"/>
      <c r="H994" s="53"/>
      <c r="I994" s="81"/>
    </row>
    <row r="995" spans="7:9" ht="12.75">
      <c r="G995" s="34"/>
      <c r="H995" s="53"/>
      <c r="I995" s="81"/>
    </row>
    <row r="996" spans="7:9" ht="12.75">
      <c r="G996" s="34"/>
      <c r="H996" s="53"/>
      <c r="I996" s="81"/>
    </row>
    <row r="997" spans="7:9" ht="12.75">
      <c r="G997" s="34"/>
      <c r="H997" s="53"/>
      <c r="I997" s="81"/>
    </row>
    <row r="998" spans="7:9" ht="12.75">
      <c r="G998" s="34"/>
      <c r="H998" s="53"/>
      <c r="I998" s="81"/>
    </row>
    <row r="999" spans="7:9" ht="12.75">
      <c r="G999" s="34"/>
      <c r="H999" s="53"/>
      <c r="I999" s="81"/>
    </row>
    <row r="1000" spans="7:9" ht="12.75">
      <c r="G1000" s="34"/>
      <c r="H1000" s="53"/>
      <c r="I1000" s="81"/>
    </row>
    <row r="1001" spans="8:9" ht="12.75">
      <c r="H1001" s="82"/>
      <c r="I1001" s="81"/>
    </row>
    <row r="1002" spans="8:9" ht="12.75">
      <c r="H1002" s="82"/>
      <c r="I1002" s="81"/>
    </row>
    <row r="1003" spans="8:9" ht="12.75">
      <c r="H1003" s="82"/>
      <c r="I1003" s="81"/>
    </row>
    <row r="1004" spans="8:9" ht="12.75">
      <c r="H1004" s="82"/>
      <c r="I1004" s="81"/>
    </row>
    <row r="1005" spans="8:9" ht="12.75">
      <c r="H1005" s="82"/>
      <c r="I1005" s="81"/>
    </row>
    <row r="1006" spans="8:9" ht="12.75">
      <c r="H1006" s="82"/>
      <c r="I1006" s="81"/>
    </row>
    <row r="1007" spans="8:9" ht="12.75">
      <c r="H1007" s="82"/>
      <c r="I1007" s="81"/>
    </row>
    <row r="1008" spans="8:9" ht="12.75">
      <c r="H1008" s="82"/>
      <c r="I1008" s="81"/>
    </row>
    <row r="1009" spans="8:9" ht="12.75">
      <c r="H1009" s="82"/>
      <c r="I1009" s="81"/>
    </row>
    <row r="1010" spans="8:9" ht="12.75">
      <c r="H1010" s="82"/>
      <c r="I1010" s="81"/>
    </row>
    <row r="1011" spans="8:9" ht="12.75">
      <c r="H1011" s="82"/>
      <c r="I1011" s="81"/>
    </row>
    <row r="1012" spans="8:9" ht="12.75">
      <c r="H1012" s="82"/>
      <c r="I1012" s="81"/>
    </row>
    <row r="1013" spans="8:9" ht="12.75">
      <c r="H1013" s="82"/>
      <c r="I1013" s="81"/>
    </row>
    <row r="1014" spans="8:9" ht="12.75">
      <c r="H1014" s="82"/>
      <c r="I1014" s="81"/>
    </row>
    <row r="1015" spans="8:9" ht="12.75">
      <c r="H1015" s="82"/>
      <c r="I1015" s="81"/>
    </row>
    <row r="1016" spans="8:9" ht="12.75">
      <c r="H1016" s="82"/>
      <c r="I1016" s="81"/>
    </row>
    <row r="1017" spans="8:9" ht="12.75">
      <c r="H1017" s="82"/>
      <c r="I1017" s="81"/>
    </row>
    <row r="1018" spans="8:9" ht="12.75">
      <c r="H1018" s="82"/>
      <c r="I1018" s="81"/>
    </row>
    <row r="1019" spans="8:9" ht="12.75">
      <c r="H1019" s="82"/>
      <c r="I1019" s="81"/>
    </row>
    <row r="1020" spans="8:9" ht="12.75">
      <c r="H1020" s="82"/>
      <c r="I1020" s="81"/>
    </row>
    <row r="1021" spans="8:9" ht="12.75">
      <c r="H1021" s="82"/>
      <c r="I1021" s="81"/>
    </row>
    <row r="1022" spans="8:9" ht="12.75">
      <c r="H1022" s="82"/>
      <c r="I1022" s="81"/>
    </row>
    <row r="1023" spans="8:9" ht="12.75">
      <c r="H1023" s="82"/>
      <c r="I1023" s="81"/>
    </row>
    <row r="1024" spans="8:9" ht="12.75">
      <c r="H1024" s="82"/>
      <c r="I1024" s="81"/>
    </row>
    <row r="1025" spans="8:9" ht="12.75">
      <c r="H1025" s="82"/>
      <c r="I1025" s="81"/>
    </row>
    <row r="1026" spans="8:9" ht="12.75">
      <c r="H1026" s="82"/>
      <c r="I1026" s="81"/>
    </row>
    <row r="1027" spans="8:9" ht="12.75">
      <c r="H1027" s="82"/>
      <c r="I1027" s="81"/>
    </row>
    <row r="1028" spans="8:9" ht="12.75">
      <c r="H1028" s="82"/>
      <c r="I1028" s="81"/>
    </row>
  </sheetData>
  <sheetProtection sheet="1" objects="1" scenarios="1"/>
  <mergeCells count="1">
    <mergeCell ref="D2:F2"/>
  </mergeCells>
  <dataValidations count="3">
    <dataValidation type="list" allowBlank="1" showInputMessage="1" showErrorMessage="1" sqref="C7">
      <formula1>$O$8:$O$9</formula1>
    </dataValidation>
    <dataValidation type="list" allowBlank="1" showInputMessage="1" showErrorMessage="1" sqref="I7:J7 E7">
      <formula1>$S$7:$S$12</formula1>
    </dataValidation>
    <dataValidation type="list" allowBlank="1" showInputMessage="1" showErrorMessage="1" sqref="D7">
      <formula1>$S$8:$S$9</formula1>
    </dataValidation>
  </dataValidations>
  <printOptions/>
  <pageMargins left="0.75" right="0.75" top="1" bottom="1" header="0.5" footer="0.5"/>
  <pageSetup horizontalDpi="600" verticalDpi="600" orientation="landscape" r:id="rId2"/>
  <headerFooter alignWithMargins="0">
    <oddHeader>&amp;C&amp;A&amp;R&amp;F</oddHeader>
    <oddFooter>&amp;CPage &amp;P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Distance-Drawdown Multi-well analysis</dc:title>
  <dc:subject>Template for analyzing pumping aquifer test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2001-12-10T03:35:20Z</cp:lastPrinted>
  <dcterms:created xsi:type="dcterms:W3CDTF">1998-11-09T19:19:00Z</dcterms:created>
  <dcterms:modified xsi:type="dcterms:W3CDTF">2004-04-30T21:32:49Z</dcterms:modified>
  <cp:category/>
  <cp:version/>
  <cp:contentType/>
  <cp:contentStatus/>
</cp:coreProperties>
</file>